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codeName="ThisWorkbook" defaultThemeVersion="124226"/>
  <mc:AlternateContent xmlns:mc="http://schemas.openxmlformats.org/markup-compatibility/2006">
    <mc:Choice Requires="x15">
      <x15ac:absPath xmlns:x15ac="http://schemas.microsoft.com/office/spreadsheetml/2010/11/ac" url="C:\Users\llannoye\Desktop\"/>
    </mc:Choice>
  </mc:AlternateContent>
  <bookViews>
    <workbookView xWindow="480" yWindow="60" windowWidth="9525" windowHeight="6720" tabRatio="745"/>
  </bookViews>
  <sheets>
    <sheet name="Cover" sheetId="6" r:id="rId1"/>
    <sheet name="Sizing Procedure" sheetId="1" r:id="rId2"/>
    <sheet name=" Sizing Tool" sheetId="2" r:id="rId3"/>
    <sheet name="Sample Deployments" sheetId="5" state="hidden" r:id="rId4"/>
    <sheet name="Calculations-Hidden" sheetId="4" state="hidden" r:id="rId5"/>
  </sheets>
  <calcPr calcId="171027"/>
</workbook>
</file>

<file path=xl/calcChain.xml><?xml version="1.0" encoding="utf-8"?>
<calcChain xmlns="http://schemas.openxmlformats.org/spreadsheetml/2006/main">
  <c r="B37" i="4" l="1"/>
  <c r="B61" i="4" l="1"/>
  <c r="C61" i="4" s="1"/>
  <c r="B60" i="4"/>
  <c r="C60" i="4" s="1"/>
  <c r="B59" i="4"/>
  <c r="B58" i="4"/>
  <c r="C58" i="4" s="1"/>
  <c r="B57" i="4"/>
  <c r="C57" i="4" s="1"/>
  <c r="B56" i="4"/>
  <c r="C56" i="4" s="1"/>
  <c r="B55" i="4"/>
  <c r="C55" i="4" s="1"/>
  <c r="B54" i="4"/>
  <c r="C54" i="4" s="1"/>
  <c r="B53" i="4"/>
  <c r="C53" i="4" s="1"/>
  <c r="B52" i="4"/>
  <c r="C52" i="4" s="1"/>
  <c r="B51" i="4"/>
  <c r="C51" i="4" s="1"/>
  <c r="B50" i="4"/>
  <c r="C50" i="4" s="1"/>
  <c r="B49" i="4"/>
  <c r="C49" i="4" s="1"/>
  <c r="B48" i="4"/>
  <c r="C48" i="4" s="1"/>
  <c r="C59" i="4"/>
  <c r="B47" i="4"/>
  <c r="C47" i="4" s="1"/>
  <c r="I61" i="4" l="1"/>
  <c r="I60" i="4"/>
  <c r="I59" i="4"/>
  <c r="I58" i="4"/>
  <c r="I57" i="4"/>
  <c r="I56" i="4"/>
  <c r="I55" i="4"/>
  <c r="I54" i="4"/>
  <c r="I53" i="4"/>
  <c r="I52" i="4"/>
  <c r="I51" i="4"/>
  <c r="I50" i="4"/>
  <c r="I49" i="4"/>
  <c r="I48" i="4"/>
  <c r="I47" i="4"/>
  <c r="C31" i="2" l="1"/>
  <c r="C30" i="2"/>
  <c r="W55" i="4"/>
  <c r="R55" i="4"/>
  <c r="U55" i="4"/>
  <c r="W50" i="4"/>
  <c r="W49" i="4"/>
  <c r="W48" i="4"/>
  <c r="W47" i="4"/>
  <c r="V50" i="4"/>
  <c r="V49" i="4"/>
  <c r="V48" i="4"/>
  <c r="V47" i="4"/>
  <c r="P24" i="4" l="1"/>
  <c r="P23" i="4"/>
  <c r="V55" i="4" s="1"/>
  <c r="L47" i="4"/>
  <c r="B18" i="4"/>
  <c r="K60" i="4" s="1"/>
  <c r="B17" i="4"/>
  <c r="J60" i="4" s="1"/>
  <c r="L61" i="4"/>
  <c r="L60" i="4"/>
  <c r="L59" i="4"/>
  <c r="L58" i="4"/>
  <c r="L57" i="4"/>
  <c r="L56" i="4"/>
  <c r="L55" i="4"/>
  <c r="L54" i="4"/>
  <c r="L53" i="4"/>
  <c r="L52" i="4"/>
  <c r="L51" i="4"/>
  <c r="L50" i="4"/>
  <c r="L49" i="4"/>
  <c r="L48" i="4"/>
  <c r="J49" i="4" l="1"/>
  <c r="J53" i="4"/>
  <c r="K61" i="4"/>
  <c r="K49" i="4"/>
  <c r="J57" i="4"/>
  <c r="K53" i="4"/>
  <c r="J61" i="4"/>
  <c r="K57" i="4"/>
  <c r="J50" i="4"/>
  <c r="J54" i="4"/>
  <c r="J58" i="4"/>
  <c r="K50" i="4"/>
  <c r="K54" i="4"/>
  <c r="K58" i="4"/>
  <c r="J47" i="4"/>
  <c r="J51" i="4"/>
  <c r="J55" i="4"/>
  <c r="J59" i="4"/>
  <c r="K47" i="4"/>
  <c r="K51" i="4"/>
  <c r="K55" i="4"/>
  <c r="K59" i="4"/>
  <c r="J48" i="4"/>
  <c r="J52" i="4"/>
  <c r="J56" i="4"/>
  <c r="K48" i="4"/>
  <c r="K52" i="4"/>
  <c r="K56" i="4"/>
  <c r="B36" i="4" l="1"/>
  <c r="M62" i="4" l="1"/>
  <c r="B41" i="4" l="1"/>
  <c r="B40" i="4"/>
  <c r="B38" i="4"/>
  <c r="B39" i="4" s="1"/>
  <c r="P2" i="4"/>
  <c r="C28" i="2"/>
  <c r="C29" i="2" s="1"/>
  <c r="E48" i="4" l="1"/>
  <c r="E49" i="4"/>
  <c r="E50" i="4"/>
  <c r="E51" i="4"/>
  <c r="E52" i="4"/>
  <c r="E53" i="4"/>
  <c r="E54" i="4"/>
  <c r="E55" i="4"/>
  <c r="E56" i="4"/>
  <c r="E57" i="4"/>
  <c r="E58" i="4"/>
  <c r="E47" i="4"/>
  <c r="E60" i="4"/>
  <c r="E61" i="4"/>
  <c r="E59" i="4"/>
  <c r="R49" i="4"/>
  <c r="R48" i="4"/>
  <c r="R47" i="4"/>
  <c r="R50" i="4"/>
  <c r="S55" i="4"/>
  <c r="U47" i="4"/>
  <c r="U50" i="4"/>
  <c r="U49" i="4"/>
  <c r="U48" i="4"/>
  <c r="D47" i="4"/>
  <c r="S50" i="4"/>
  <c r="D60" i="4"/>
  <c r="D58" i="4"/>
  <c r="D56" i="4"/>
  <c r="D54" i="4"/>
  <c r="D52" i="4"/>
  <c r="D49" i="4"/>
  <c r="S47" i="4"/>
  <c r="B43" i="4"/>
  <c r="H47" i="4" s="1"/>
  <c r="D50" i="4"/>
  <c r="S48" i="4"/>
  <c r="B42" i="4"/>
  <c r="T55" i="4" s="1"/>
  <c r="D61" i="4"/>
  <c r="D59" i="4"/>
  <c r="D57" i="4"/>
  <c r="D55" i="4"/>
  <c r="D53" i="4"/>
  <c r="D51" i="4"/>
  <c r="S49" i="4"/>
  <c r="D48" i="4"/>
  <c r="X55" i="4" l="1"/>
  <c r="C26" i="2" s="1"/>
  <c r="F47" i="4"/>
  <c r="F58" i="4"/>
  <c r="F54" i="4"/>
  <c r="F50" i="4"/>
  <c r="F61" i="4"/>
  <c r="F57" i="4"/>
  <c r="F53" i="4"/>
  <c r="F49" i="4"/>
  <c r="F60" i="4"/>
  <c r="F56" i="4"/>
  <c r="F52" i="4"/>
  <c r="F48" i="4"/>
  <c r="F59" i="4"/>
  <c r="F55" i="4"/>
  <c r="F51" i="4"/>
  <c r="G61" i="4"/>
  <c r="G59" i="4"/>
  <c r="G57" i="4"/>
  <c r="G55" i="4"/>
  <c r="G53" i="4"/>
  <c r="G51" i="4"/>
  <c r="T48" i="4"/>
  <c r="X48" i="4" s="1"/>
  <c r="H48" i="4"/>
  <c r="G47" i="4"/>
  <c r="H60" i="4"/>
  <c r="H58" i="4"/>
  <c r="H56" i="4"/>
  <c r="H54" i="4"/>
  <c r="H52" i="4"/>
  <c r="T49" i="4"/>
  <c r="X49" i="4" s="1"/>
  <c r="H49" i="4"/>
  <c r="G48" i="4"/>
  <c r="G60" i="4"/>
  <c r="G58" i="4"/>
  <c r="G56" i="4"/>
  <c r="G54" i="4"/>
  <c r="G52" i="4"/>
  <c r="T50" i="4"/>
  <c r="X50" i="4" s="1"/>
  <c r="H50" i="4"/>
  <c r="G49" i="4"/>
  <c r="H55" i="4"/>
  <c r="H57" i="4"/>
  <c r="G50" i="4"/>
  <c r="T47" i="4"/>
  <c r="X47" i="4" s="1"/>
  <c r="H59" i="4"/>
  <c r="H51" i="4"/>
  <c r="H61" i="4"/>
  <c r="H53" i="4"/>
  <c r="C23" i="2" l="1"/>
  <c r="M50" i="4"/>
  <c r="M47" i="4"/>
  <c r="M51" i="4"/>
  <c r="M52" i="4"/>
  <c r="M53" i="4"/>
  <c r="M54" i="4"/>
  <c r="M55" i="4"/>
  <c r="M56" i="4"/>
  <c r="M57" i="4"/>
  <c r="M48" i="4"/>
  <c r="M49" i="4"/>
  <c r="C21" i="2" l="1" a="1"/>
  <c r="C21" i="2" s="1"/>
  <c r="C20" i="2" a="1"/>
  <c r="C20" i="2" s="1"/>
  <c r="M61" i="4"/>
  <c r="M59" i="4"/>
  <c r="M58" i="4" l="1"/>
  <c r="M60" i="4"/>
</calcChain>
</file>

<file path=xl/comments1.xml><?xml version="1.0" encoding="utf-8"?>
<comments xmlns="http://schemas.openxmlformats.org/spreadsheetml/2006/main">
  <authors>
    <author>Boris</author>
  </authors>
  <commentList>
    <comment ref="A46" authorId="0" shapeId="0">
      <text>
        <r>
          <rPr>
            <b/>
            <sz val="8"/>
            <color indexed="81"/>
            <rFont val="Tahoma"/>
            <family val="2"/>
          </rPr>
          <t>Boris:</t>
        </r>
        <r>
          <rPr>
            <sz val="8"/>
            <color indexed="81"/>
            <rFont val="Tahoma"/>
            <family val="2"/>
          </rPr>
          <t xml:space="preserve">
Number of WebAPI nodes</t>
        </r>
      </text>
    </comment>
    <comment ref="B46" authorId="0" shapeId="0">
      <text>
        <r>
          <rPr>
            <b/>
            <sz val="8"/>
            <color indexed="81"/>
            <rFont val="Tahoma"/>
            <family val="2"/>
          </rPr>
          <t>Boris:</t>
        </r>
        <r>
          <rPr>
            <sz val="8"/>
            <color indexed="81"/>
            <rFont val="Tahoma"/>
            <family val="2"/>
          </rPr>
          <t xml:space="preserve">
Rate that required to sutisfy re-login time. Let's assume that clients will login with this rate, at least system will respond with this rate</t>
        </r>
      </text>
    </comment>
    <comment ref="C46" authorId="0" shapeId="0">
      <text>
        <r>
          <rPr>
            <b/>
            <sz val="8"/>
            <color indexed="81"/>
            <rFont val="Tahoma"/>
            <family val="2"/>
          </rPr>
          <t>Boris:</t>
        </r>
        <r>
          <rPr>
            <sz val="8"/>
            <color indexed="81"/>
            <rFont val="Tahoma"/>
            <family val="2"/>
          </rPr>
          <t xml:space="preserve">
Time required to relogin all agent from one failed node to remaining nodes.</t>
        </r>
      </text>
    </comment>
    <comment ref="D46" authorId="0" shapeId="0">
      <text>
        <r>
          <rPr>
            <b/>
            <sz val="8"/>
            <color indexed="81"/>
            <rFont val="Tahoma"/>
            <family val="2"/>
          </rPr>
          <t>Boris:</t>
        </r>
        <r>
          <rPr>
            <sz val="8"/>
            <color indexed="81"/>
            <rFont val="Tahoma"/>
            <family val="2"/>
          </rPr>
          <t xml:space="preserve">
CPU utilization attributed to call processing. Value is calculated  for N-1 nodes</t>
        </r>
      </text>
    </comment>
    <comment ref="E46" authorId="0" shapeId="0">
      <text>
        <r>
          <rPr>
            <b/>
            <sz val="8"/>
            <color indexed="81"/>
            <rFont val="Tahoma"/>
            <family val="2"/>
          </rPr>
          <t>Boris:</t>
        </r>
        <r>
          <rPr>
            <sz val="8"/>
            <color indexed="81"/>
            <rFont val="Tahoma"/>
            <family val="2"/>
          </rPr>
          <t xml:space="preserve">
CPU utilization attributed to re-registration</t>
        </r>
      </text>
    </comment>
    <comment ref="F46" authorId="0" shapeId="0">
      <text>
        <r>
          <rPr>
            <b/>
            <sz val="8"/>
            <color indexed="81"/>
            <rFont val="Tahoma"/>
            <family val="2"/>
          </rPr>
          <t>Boris:</t>
        </r>
        <r>
          <rPr>
            <sz val="8"/>
            <color indexed="81"/>
            <rFont val="Tahoma"/>
            <family val="2"/>
          </rPr>
          <t xml:space="preserve">
CPU utilization attributed to get-contact requests </t>
        </r>
      </text>
    </comment>
    <comment ref="G46" authorId="0" shapeId="0">
      <text>
        <r>
          <rPr>
            <b/>
            <sz val="8"/>
            <color indexed="81"/>
            <rFont val="Tahoma"/>
            <family val="2"/>
          </rPr>
          <t>Boris:</t>
        </r>
        <r>
          <rPr>
            <sz val="8"/>
            <color indexed="81"/>
            <rFont val="Tahoma"/>
            <family val="2"/>
          </rPr>
          <t xml:space="preserve">
CPU utilization attributed to get-contact requests </t>
        </r>
      </text>
    </comment>
    <comment ref="H46" authorId="0" shapeId="0">
      <text>
        <r>
          <rPr>
            <b/>
            <sz val="8"/>
            <color indexed="81"/>
            <rFont val="Tahoma"/>
            <family val="2"/>
          </rPr>
          <t>Boris:</t>
        </r>
        <r>
          <rPr>
            <sz val="8"/>
            <color indexed="81"/>
            <rFont val="Tahoma"/>
            <family val="2"/>
          </rPr>
          <t xml:space="preserve">
CPU utilization attributed to object query requests</t>
        </r>
      </text>
    </comment>
    <comment ref="R46" authorId="0" shapeId="0">
      <text>
        <r>
          <rPr>
            <b/>
            <sz val="8"/>
            <color indexed="81"/>
            <rFont val="Tahoma"/>
            <family val="2"/>
          </rPr>
          <t>Boris:</t>
        </r>
        <r>
          <rPr>
            <sz val="8"/>
            <color indexed="81"/>
            <rFont val="Tahoma"/>
            <family val="2"/>
          </rPr>
          <t xml:space="preserve">
If voice only ES depend on number agents*kidle, if e-services&gt;0 add 112; I do not know why.
Also this is not clear if idle will scale with nodes number</t>
        </r>
      </text>
    </comment>
    <comment ref="T46" authorId="0" shapeId="0">
      <text>
        <r>
          <rPr>
            <b/>
            <sz val="8"/>
            <color indexed="81"/>
            <rFont val="Tahoma"/>
            <family val="2"/>
          </rPr>
          <t>Boris:</t>
        </r>
        <r>
          <rPr>
            <sz val="8"/>
            <color indexed="81"/>
            <rFont val="Tahoma"/>
            <family val="2"/>
          </rPr>
          <t xml:space="preserve">
need to verify rate</t>
        </r>
      </text>
    </comment>
    <comment ref="U46" authorId="0" shapeId="0">
      <text>
        <r>
          <rPr>
            <b/>
            <sz val="8"/>
            <color indexed="81"/>
            <rFont val="Tahoma"/>
            <family val="2"/>
          </rPr>
          <t>Boris:</t>
        </r>
        <r>
          <rPr>
            <sz val="8"/>
            <color indexed="81"/>
            <rFont val="Tahoma"/>
            <family val="2"/>
          </rPr>
          <t xml:space="preserve">
need to verify rate</t>
        </r>
      </text>
    </comment>
    <comment ref="V46" authorId="0" shapeId="0">
      <text>
        <r>
          <rPr>
            <b/>
            <sz val="8"/>
            <color indexed="81"/>
            <rFont val="Tahoma"/>
            <family val="2"/>
          </rPr>
          <t>Boris:</t>
        </r>
        <r>
          <rPr>
            <sz val="8"/>
            <color indexed="81"/>
            <rFont val="Tahoma"/>
            <family val="2"/>
          </rPr>
          <t xml:space="preserve">
It looks that it depends on Inbound email rate only. It should be verified for outbound</t>
        </r>
      </text>
    </comment>
    <comment ref="W46" authorId="0" shapeId="0">
      <text>
        <r>
          <rPr>
            <b/>
            <sz val="8"/>
            <color indexed="81"/>
            <rFont val="Tahoma"/>
            <family val="2"/>
          </rPr>
          <t>Boris:</t>
        </r>
        <r>
          <rPr>
            <sz val="8"/>
            <color indexed="81"/>
            <rFont val="Tahoma"/>
            <family val="2"/>
          </rPr>
          <t xml:space="preserve">
It looks that it depends on chat rate only.</t>
        </r>
      </text>
    </comment>
    <comment ref="R54" authorId="0" shapeId="0">
      <text>
        <r>
          <rPr>
            <b/>
            <sz val="8"/>
            <color indexed="81"/>
            <rFont val="Tahoma"/>
            <family val="2"/>
          </rPr>
          <t>Boris:</t>
        </r>
        <r>
          <rPr>
            <sz val="8"/>
            <color indexed="81"/>
            <rFont val="Tahoma"/>
            <family val="2"/>
          </rPr>
          <t xml:space="preserve">
if e-services&gt;0 17, 6</t>
        </r>
      </text>
    </comment>
  </commentList>
</comments>
</file>

<file path=xl/sharedStrings.xml><?xml version="1.0" encoding="utf-8"?>
<sst xmlns="http://schemas.openxmlformats.org/spreadsheetml/2006/main" count="179" uniqueCount="159">
  <si>
    <t>RegMax</t>
  </si>
  <si>
    <t>CPUpro</t>
  </si>
  <si>
    <t>CPUtotal</t>
  </si>
  <si>
    <t>MaxCPUpro</t>
  </si>
  <si>
    <t>MaxCPU</t>
  </si>
  <si>
    <t xml:space="preserve">CPU Overload Trashold </t>
  </si>
  <si>
    <t>Lberr</t>
  </si>
  <si>
    <t>Derived params</t>
  </si>
  <si>
    <t>Default CPU score</t>
  </si>
  <si>
    <t xml:space="preserve"> https://www.spec.org/cgi-bin/osgresults?conf=rint2006,  (see SPECint2006 Rate for Intel Xeon E5-2697= 1180/28</t>
  </si>
  <si>
    <t>CPUScoreCoeff</t>
  </si>
  <si>
    <t>CPUScoreCoeffAdjusted</t>
  </si>
  <si>
    <t>#WebAPI Nodes</t>
  </si>
  <si>
    <t>MultipleObjQuery Refresh Tout</t>
  </si>
  <si>
    <t>MultipleObjQuery Rate</t>
  </si>
  <si>
    <t>Status Change rate</t>
  </si>
  <si>
    <t>Re-Login time</t>
  </si>
  <si>
    <t>CPUrelog</t>
  </si>
  <si>
    <t>UCS Request Rate</t>
  </si>
  <si>
    <t>Call processing rate (adjusted)</t>
  </si>
  <si>
    <t>Let's assume transfer&amp;conference has 3 times more impact on WebAPI CPU utilization</t>
  </si>
  <si>
    <t>Let's assume that WWE issue 4 requests to UCS for each call</t>
  </si>
  <si>
    <t>CPUcontact</t>
  </si>
  <si>
    <t>Request contact info via UCS, There is no measurement so far, just tree time less than call processing</t>
  </si>
  <si>
    <t>CPUobj_query</t>
  </si>
  <si>
    <t>Need to verify this.</t>
  </si>
  <si>
    <t>Need to verify this</t>
  </si>
  <si>
    <t>Values</t>
  </si>
  <si>
    <t>Comments</t>
  </si>
  <si>
    <t>Default settings</t>
  </si>
  <si>
    <t>Maximum CPU for TServer handling thread</t>
  </si>
  <si>
    <t>Maximum CPU per VM</t>
  </si>
  <si>
    <t>b -&gt;coefficient for call processing (CPU= kx + b, where x= CallRate)</t>
  </si>
  <si>
    <t>K -&gt;coefficient for relogin (CPU= kx + b, where x= Login Rate)</t>
  </si>
  <si>
    <t>b -&gt;coefficient for relogin (CPU= kx + b, where x= Login Rate)</t>
  </si>
  <si>
    <t>CPUidle</t>
  </si>
  <si>
    <t>ES Kidle</t>
  </si>
  <si>
    <t>ES Kpro</t>
  </si>
  <si>
    <t>ES Kcontact</t>
  </si>
  <si>
    <t>K -&gt;coefficient for ES idle (CPU= kx, where x= number of agents)</t>
  </si>
  <si>
    <t>ES Ks_obj_query</t>
  </si>
  <si>
    <t>CPUcont</t>
  </si>
  <si>
    <t>CPUs_obj_query</t>
  </si>
  <si>
    <t>Elastic Search Nodes</t>
  </si>
  <si>
    <t>Call Transfer&amp;Conference ratio</t>
  </si>
  <si>
    <t>Input Parameter</t>
  </si>
  <si>
    <t>Max # Logged in Agents</t>
  </si>
  <si>
    <t>Max re-Login Time (sec)</t>
  </si>
  <si>
    <t># Cores per VM</t>
  </si>
  <si>
    <t>CPU Score (SPECint2006)</t>
  </si>
  <si>
    <t>Value</t>
  </si>
  <si>
    <t>https://www.spec.org/cgi-bin/osgresults?conf=rint2006</t>
  </si>
  <si>
    <t>Max # of agents logged in simultaneously</t>
  </si>
  <si>
    <t>Average Call Duration (sec)</t>
  </si>
  <si>
    <t>Max # Agents on a Call</t>
  </si>
  <si>
    <t>Peak Call Rate (calls/sec)</t>
  </si>
  <si>
    <t>API Nodes - Peak CPU</t>
  </si>
  <si>
    <t>Elastic Search Nodes - Peak CPU</t>
  </si>
  <si>
    <t>Stat Nodes - Required</t>
  </si>
  <si>
    <t>API Nodes - # Required</t>
  </si>
  <si>
    <t>Elastic Search Nodes - # Required</t>
  </si>
  <si>
    <t>Cassandra Nodes - # Required</t>
  </si>
  <si>
    <t>Output Parameter</t>
  </si>
  <si>
    <t>Sizing Procedure</t>
  </si>
  <si>
    <t>Max acceptable time for agent re-login to surviving node after failure</t>
  </si>
  <si>
    <t>Sizing Input</t>
  </si>
  <si>
    <t>Sizing Output</t>
  </si>
  <si>
    <t>Note: adjust # Agents &amp; Call Rate if Busy Factor &gt; 100%</t>
  </si>
  <si>
    <t>&lt; 10% Peak CPU    One Stat node will also serve Sync function</t>
  </si>
  <si>
    <t>K -&gt;coefficient for call processing (CPU= kx + b, where x= CallRate), status change is included</t>
  </si>
  <si>
    <t>CPUstatus</t>
  </si>
  <si>
    <t>K -&gt;coefficient for relogin (CPU= kx + b, where x= Status Change Rate)</t>
  </si>
  <si>
    <t>b -&gt;coefficient for relogin (CPU= kx + b, where x= Status Change Rate)</t>
  </si>
  <si>
    <r>
      <t xml:space="preserve">2. Enter </t>
    </r>
    <r>
      <rPr>
        <b/>
        <sz val="14"/>
        <color theme="1"/>
        <rFont val="Calibri"/>
        <family val="2"/>
        <scheme val="minor"/>
      </rPr>
      <t>SPECint2006 Rate</t>
    </r>
    <r>
      <rPr>
        <sz val="14"/>
        <color theme="1"/>
        <rFont val="Calibri"/>
        <family val="2"/>
        <scheme val="minor"/>
      </rPr>
      <t xml:space="preserve"> CPU score,  based on </t>
    </r>
    <r>
      <rPr>
        <sz val="14"/>
        <color theme="4"/>
        <rFont val="Calibri"/>
        <family val="2"/>
        <scheme val="minor"/>
      </rPr>
      <t>https://www.spec.org/cgi-bin/osgresults?conf=rint2006</t>
    </r>
    <r>
      <rPr>
        <sz val="14"/>
        <color theme="1"/>
        <rFont val="Calibri"/>
        <family val="2"/>
        <scheme val="minor"/>
      </rPr>
      <t xml:space="preserve">             For example,</t>
    </r>
    <r>
      <rPr>
        <b/>
        <sz val="14"/>
        <color theme="1"/>
        <rFont val="Calibri"/>
        <family val="2"/>
        <scheme val="minor"/>
      </rPr>
      <t xml:space="preserve"> SPECint2006 Rate</t>
    </r>
    <r>
      <rPr>
        <sz val="14"/>
        <color theme="1"/>
        <rFont val="Calibri"/>
        <family val="2"/>
        <scheme val="minor"/>
      </rPr>
      <t xml:space="preserve"> for Intel Xeon E5-2697 = 1180/28 = 42.14</t>
    </r>
  </si>
  <si>
    <t>#Cassandra</t>
  </si>
  <si>
    <t>CPUreg</t>
  </si>
  <si>
    <t>CPUTotal</t>
  </si>
  <si>
    <t>Cassandra Nodes - Peak CPU</t>
  </si>
  <si>
    <r>
      <rPr>
        <b/>
        <sz val="10"/>
        <rFont val="Arial"/>
        <family val="2"/>
      </rPr>
      <t>About Genesys:</t>
    </r>
    <r>
      <rPr>
        <sz val="10"/>
        <rFont val="Arial"/>
        <family val="2"/>
      </rPr>
      <t xml:space="preserve">  Genesys solutions feature leading software that manages customer interactions over phone, Web, and mobile devices. The Genesys software suite handles customer conversations across multiple channels and resources—self-service, assisted-service, and proactive outreach—fulfilling customer requests and optimizing customer care goals while efficiently using resources. Genesys software directs more than 100 million customer interactions every day for 4000 companies and government agencies in 80 countries. These companies and agencies leverage their entire organization, from the contact center to the back office, while dynamically engaging their customers. Go to www.genesys.com for more information.Each product has its own documentation for online viewing at the Genesys Customer Care website or on the Documentation Library DVD, which is available from Genesys upon request. For more information, contact your sales representative.</t>
    </r>
  </si>
  <si>
    <r>
      <t>Notice:</t>
    </r>
    <r>
      <rPr>
        <sz val="10"/>
        <rFont val="Arial"/>
        <family val="2"/>
      </rPr>
      <t xml:space="preserve"> Although reasonable effort is made to ensure that the information in this document is complete and accurate at the time of release, Genesys Telecommunications Laboratories, Inc., cannot assume responsibility for any existing errors. Changes and/or corrections to the information contained in this document may be incorporated in future versions.</t>
    </r>
  </si>
  <si>
    <r>
      <rPr>
        <b/>
        <sz val="10"/>
        <rFont val="Arial"/>
        <family val="2"/>
      </rPr>
      <t xml:space="preserve">Trademarks: </t>
    </r>
    <r>
      <rPr>
        <sz val="10"/>
        <rFont val="Arial"/>
        <family val="2"/>
      </rPr>
      <t>Genesys, the Genesys logo, and T-Server are registered trademarks of Genesys Telecommunications Laboratories, Inc. All other trademarks and trade names referred to in this document are the property of other companies. The Crystal monospace font is used by permission of Software Renovation Corporation, www.SoftwareRenovation.com.</t>
    </r>
  </si>
  <si>
    <r>
      <rPr>
        <b/>
        <sz val="10"/>
        <rFont val="Arial"/>
        <family val="2"/>
      </rPr>
      <t>Technical Support from VARs:</t>
    </r>
    <r>
      <rPr>
        <sz val="10"/>
        <rFont val="Arial"/>
        <family val="2"/>
      </rPr>
      <t xml:space="preserve"> If you have purchased support from a value-added reseller (VAR), please contact the VAR for technical support.</t>
    </r>
  </si>
  <si>
    <r>
      <rPr>
        <b/>
        <sz val="10"/>
        <rFont val="Arial"/>
        <family val="2"/>
      </rPr>
      <t>Customer Care from Genesys:</t>
    </r>
    <r>
      <rPr>
        <sz val="10"/>
        <rFont val="Arial"/>
        <family val="2"/>
      </rPr>
      <t xml:space="preserve"> If you have purchased support directly from Genesys, please contact Genesys Customer Care at the regional numbers provided on the Genesys Customer Care website.</t>
    </r>
  </si>
  <si>
    <r>
      <rPr>
        <b/>
        <sz val="10"/>
        <rFont val="Arial"/>
        <family val="2"/>
      </rPr>
      <t>Ordering and Licensing Information:</t>
    </r>
    <r>
      <rPr>
        <sz val="10"/>
        <rFont val="Arial"/>
        <family val="2"/>
      </rPr>
      <t xml:space="preserve"> Complete information on ordering and licensing Genesys products can be found in the Genesys Licensing Guide. Released by Genesys Telecommunications Laboratories, Inc. www.genesys.com.</t>
    </r>
  </si>
  <si>
    <t>Genesys Web Services and Applications Node Sizing Tool 8.5.2</t>
  </si>
  <si>
    <r>
      <t xml:space="preserve">1. Enter Sizing Input Parameters, which reflect expected </t>
    </r>
    <r>
      <rPr>
        <b/>
        <i/>
        <sz val="14"/>
        <color theme="1"/>
        <rFont val="Calibri"/>
        <family val="2"/>
        <scheme val="minor"/>
      </rPr>
      <t>peak traffic</t>
    </r>
  </si>
  <si>
    <t>3. Sizing Output Results for the number of API, Elastic Search, Stat and Cassandra nodes are shown immediately, with estimated peak CPU utilization</t>
  </si>
  <si>
    <t>4. Based on the node and CPU outputs, manually determine the required number of VMWare ESX hosts using these rules:
- Minimum of 3 ESX hosts, to accommodate HA requirements (each ESX will host one Cassandra and ES node)
- Total CPU Utilization on a host (sum of CPU utilization for all VMs) must not exceed 75% of total host capacity</t>
  </si>
  <si>
    <t>Peak total rate of all new calls handled by agents (Inbound &amp; Outbound)</t>
  </si>
  <si>
    <t xml:space="preserve">Peak Chat Rate (chat/sec) </t>
  </si>
  <si>
    <t>Chat Session duration (sec)</t>
  </si>
  <si>
    <t># Simultaneous Chat Sessions</t>
  </si>
  <si>
    <t>Peak Inbound Email Rate</t>
  </si>
  <si>
    <t>Peak Outbound Email Rate</t>
  </si>
  <si>
    <t>EmailInb</t>
  </si>
  <si>
    <t>EmailOut</t>
  </si>
  <si>
    <t>EmailBin</t>
  </si>
  <si>
    <t>Chat</t>
  </si>
  <si>
    <t>Rate of Email Through Workbin</t>
  </si>
  <si>
    <t>CPUemail</t>
  </si>
  <si>
    <t>CPUchat</t>
  </si>
  <si>
    <t>ES emailIdle</t>
  </si>
  <si>
    <t>ES emailRateOut</t>
  </si>
  <si>
    <t>ES emailRateInb</t>
  </si>
  <si>
    <t>ES emailRateWBin</t>
  </si>
  <si>
    <t>API Chat K_Rate</t>
  </si>
  <si>
    <t>API Chat K_MsgRate</t>
  </si>
  <si>
    <t>API Chat K_ActiveSession</t>
  </si>
  <si>
    <t>API Email K_RateInb</t>
  </si>
  <si>
    <t>API Email K_RateOut</t>
  </si>
  <si>
    <t>API Email K_RateWorkBin</t>
  </si>
  <si>
    <t>API Email K_AttSize</t>
  </si>
  <si>
    <t>API Email K_BodySize</t>
  </si>
  <si>
    <t>API Kpro</t>
  </si>
  <si>
    <t>API Bpro</t>
  </si>
  <si>
    <t>API Kreg</t>
  </si>
  <si>
    <t>API Breg</t>
  </si>
  <si>
    <t>API Kcontact</t>
  </si>
  <si>
    <t>API Bcontact</t>
  </si>
  <si>
    <t>API Kobj_query</t>
  </si>
  <si>
    <t>API Bobj_query</t>
  </si>
  <si>
    <t>API Kstatus_change</t>
  </si>
  <si>
    <t>API Bstatus_change</t>
  </si>
  <si>
    <t>Cassandra Voice K_idle</t>
  </si>
  <si>
    <t>Cassandra Voice K_pro</t>
  </si>
  <si>
    <t>Cassandra Voice K_status</t>
  </si>
  <si>
    <t>Cassandra Voice  K_reg</t>
  </si>
  <si>
    <t>Cassandra Email K_inb</t>
  </si>
  <si>
    <t>Cassandra Email K_out</t>
  </si>
  <si>
    <t>Cassandra Email K_wbin</t>
  </si>
  <si>
    <t>Cassandra Email K_idle</t>
  </si>
  <si>
    <t>Cassandra Chat K_rate</t>
  </si>
  <si>
    <t>Cassandra Chat K_msgRate</t>
  </si>
  <si>
    <t>K_inb_reply - Kinb</t>
  </si>
  <si>
    <t>K_inb_wbin_reply - Kinb_reply</t>
  </si>
  <si>
    <t>Is it scalable with nodes?</t>
  </si>
  <si>
    <t>ES ChatRate</t>
  </si>
  <si>
    <t>ES ChatMsgRate</t>
  </si>
  <si>
    <t>let's ignore this</t>
  </si>
  <si>
    <t>Is it scalable with nodes? does it depend on agent's number?</t>
  </si>
  <si>
    <t># Chat message rate</t>
  </si>
  <si>
    <t>Derived Parameters</t>
  </si>
  <si>
    <t># Messages per Session</t>
  </si>
  <si>
    <t>UCSrequestsPerCall</t>
  </si>
  <si>
    <t>StatusChangesPerCall</t>
  </si>
  <si>
    <t>CPU= Krate*Rate(1* Katt*AttInMByte)</t>
  </si>
  <si>
    <t>Attachment Size (MByte)</t>
  </si>
  <si>
    <t>Average attachment size in MByte</t>
  </si>
  <si>
    <t>Logins Per Second. It depends on DOS filter settings and available bandwidth</t>
  </si>
  <si>
    <t>Summary of average rate of replies and rate of outbound emails</t>
  </si>
  <si>
    <t>Average rate of emails that go through workbin</t>
  </si>
  <si>
    <t>Average rate of inbound emails</t>
  </si>
  <si>
    <t>Number of messages going in both directions during one session</t>
  </si>
  <si>
    <t>Re-Login Rate</t>
  </si>
  <si>
    <t>RegMin</t>
  </si>
  <si>
    <t>Voice Busy Factor</t>
  </si>
  <si>
    <r>
      <rPr>
        <b/>
        <sz val="10"/>
        <rFont val="Arial"/>
        <family val="2"/>
      </rPr>
      <t>Document Version:</t>
    </r>
    <r>
      <rPr>
        <sz val="10"/>
        <rFont val="Arial"/>
        <family val="2"/>
      </rPr>
      <t xml:space="preserve"> 8.5.201.04</t>
    </r>
  </si>
  <si>
    <t>The information contained herein is proprietary and confidential and cannot be disclosed or duplicated without the prior written consent of Genesys Telecommunications Laboratories, Inc. Copyright © 2016-2017 Genesys Telecommunications Laboratories, Inc. All rights reserved.</t>
  </si>
  <si>
    <r>
      <rPr>
        <b/>
        <sz val="10"/>
        <rFont val="Arial"/>
        <family val="2"/>
      </rPr>
      <t>Note:</t>
    </r>
    <r>
      <rPr>
        <sz val="10"/>
        <rFont val="Arial"/>
        <family val="2"/>
      </rPr>
      <t xml:space="preserve"> This sizing calculator provides an estimate of the required number of Web Services nodes (VMs) and peak number of CPU utilization. These numbers are calculated based on input parameters that specify projected load and maximum time for recovery if one API node goes down. The number of VMs and CPU utilization can be used to estimate required number of ESX hosts for a given deployment.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</si>
</sst>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21" x14ac:knownFonts="1">
    <font>
      <sz val="11"/>
      <color theme="1"/>
      <name val="Calibri"/>
      <family val="2"/>
      <scheme val="minor"/>
    </font>
    <font>
      <sz val="8"/>
      <color indexed="81"/>
      <name val="Tahoma"/>
      <family val="2"/>
    </font>
    <font>
      <b/>
      <sz val="8"/>
      <color indexed="81"/>
      <name val="Tahoma"/>
      <family val="2"/>
    </font>
    <font>
      <b/>
      <sz val="11"/>
      <color theme="1"/>
      <name val="Calibri"/>
      <family val="2"/>
      <scheme val="minor"/>
    </font>
    <font>
      <b/>
      <sz val="14"/>
      <color theme="1"/>
      <name val="Calibri"/>
      <family val="2"/>
      <scheme val="minor"/>
    </font>
    <font>
      <b/>
      <sz val="12"/>
      <color theme="1"/>
      <name val="Calibri"/>
      <family val="2"/>
      <scheme val="minor"/>
    </font>
    <font>
      <u/>
      <sz val="11"/>
      <color theme="3"/>
      <name val="Calibri"/>
      <family val="2"/>
      <scheme val="minor"/>
    </font>
    <font>
      <sz val="16"/>
      <color theme="1"/>
      <name val="Calibri"/>
      <family val="2"/>
      <scheme val="minor"/>
    </font>
    <font>
      <sz val="14"/>
      <color theme="1"/>
      <name val="Calibri"/>
      <family val="2"/>
      <scheme val="minor"/>
    </font>
    <font>
      <sz val="12"/>
      <color theme="1"/>
      <name val="Calibri"/>
      <family val="2"/>
      <scheme val="minor"/>
    </font>
    <font>
      <u/>
      <sz val="11"/>
      <color theme="10"/>
      <name val="Calibri"/>
      <family val="2"/>
      <scheme val="minor"/>
    </font>
    <font>
      <sz val="11"/>
      <color theme="1"/>
      <name val="Calibri"/>
      <family val="2"/>
      <scheme val="minor"/>
    </font>
    <font>
      <b/>
      <sz val="16"/>
      <color theme="1"/>
      <name val="Calibri"/>
      <family val="2"/>
      <scheme val="minor"/>
    </font>
    <font>
      <b/>
      <sz val="18"/>
      <color theme="1"/>
      <name val="Calibri"/>
      <family val="2"/>
      <scheme val="minor"/>
    </font>
    <font>
      <b/>
      <i/>
      <sz val="14"/>
      <color theme="1"/>
      <name val="Calibri"/>
      <family val="2"/>
      <scheme val="minor"/>
    </font>
    <font>
      <b/>
      <i/>
      <sz val="12"/>
      <color theme="1"/>
      <name val="Calibri"/>
      <family val="2"/>
      <scheme val="minor"/>
    </font>
    <font>
      <sz val="14"/>
      <color theme="4"/>
      <name val="Calibri"/>
      <family val="2"/>
      <scheme val="minor"/>
    </font>
    <font>
      <sz val="10"/>
      <name val="Arial"/>
      <family val="2"/>
    </font>
    <font>
      <b/>
      <sz val="14"/>
      <name val="Arial"/>
      <family val="2"/>
    </font>
    <font>
      <sz val="14"/>
      <name val="Arial"/>
      <family val="2"/>
    </font>
    <font>
      <b/>
      <sz val="10"/>
      <name val="Arial"/>
      <family val="2"/>
    </font>
  </fonts>
  <fills count="1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5"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0" fontId="10" fillId="0" borderId="0" applyNumberFormat="0" applyFill="0" applyBorder="0" applyAlignment="0" applyProtection="0"/>
    <xf numFmtId="9" fontId="11" fillId="0" borderId="0" applyFont="0" applyFill="0" applyBorder="0" applyAlignment="0" applyProtection="0"/>
    <xf numFmtId="0" fontId="17" fillId="0" borderId="0"/>
  </cellStyleXfs>
  <cellXfs count="122">
    <xf numFmtId="0" fontId="0" fillId="0" borderId="0" xfId="0"/>
    <xf numFmtId="0" fontId="0" fillId="0" borderId="0" xfId="0" applyProtection="1"/>
    <xf numFmtId="0" fontId="4" fillId="3" borderId="10" xfId="0" applyFont="1" applyFill="1" applyBorder="1" applyProtection="1"/>
    <xf numFmtId="0" fontId="0" fillId="3" borderId="7" xfId="0" applyFill="1" applyBorder="1" applyProtection="1"/>
    <xf numFmtId="0" fontId="0" fillId="3" borderId="2" xfId="0" applyFill="1" applyBorder="1" applyProtection="1"/>
    <xf numFmtId="0" fontId="0" fillId="3" borderId="4" xfId="0" applyFill="1" applyBorder="1" applyProtection="1"/>
    <xf numFmtId="0" fontId="0" fillId="5" borderId="1" xfId="0" applyFill="1" applyBorder="1" applyProtection="1"/>
    <xf numFmtId="2" fontId="0" fillId="0" borderId="0" xfId="0" applyNumberFormat="1" applyProtection="1"/>
    <xf numFmtId="0" fontId="0" fillId="0" borderId="0" xfId="0" applyAlignment="1" applyProtection="1">
      <alignment wrapText="1"/>
    </xf>
    <xf numFmtId="164" fontId="0" fillId="5" borderId="1" xfId="0" applyNumberFormat="1" applyFill="1" applyBorder="1" applyProtection="1"/>
    <xf numFmtId="0" fontId="4" fillId="4" borderId="10" xfId="0" applyFont="1" applyFill="1" applyBorder="1" applyProtection="1"/>
    <xf numFmtId="0" fontId="0" fillId="5" borderId="8" xfId="0" applyFill="1" applyBorder="1" applyProtection="1"/>
    <xf numFmtId="0" fontId="4" fillId="5" borderId="11" xfId="0" applyFont="1" applyFill="1" applyBorder="1" applyProtection="1"/>
    <xf numFmtId="164" fontId="0" fillId="5" borderId="5" xfId="0" applyNumberFormat="1" applyFill="1" applyBorder="1" applyProtection="1"/>
    <xf numFmtId="164" fontId="4" fillId="5" borderId="11" xfId="0" applyNumberFormat="1" applyFont="1" applyFill="1" applyBorder="1" applyProtection="1"/>
    <xf numFmtId="164" fontId="0" fillId="9" borderId="1" xfId="0" applyNumberFormat="1" applyFill="1" applyBorder="1" applyProtection="1"/>
    <xf numFmtId="0" fontId="0" fillId="4" borderId="8" xfId="0" applyFill="1" applyBorder="1" applyProtection="1"/>
    <xf numFmtId="0" fontId="3" fillId="3" borderId="10" xfId="0" applyFont="1" applyFill="1" applyBorder="1" applyProtection="1"/>
    <xf numFmtId="0" fontId="0" fillId="4" borderId="5" xfId="0" applyFill="1" applyBorder="1" applyProtection="1"/>
    <xf numFmtId="0" fontId="0" fillId="9" borderId="1" xfId="0" applyFill="1" applyBorder="1" applyProtection="1"/>
    <xf numFmtId="0" fontId="0" fillId="9" borderId="2" xfId="0" applyFill="1" applyBorder="1" applyProtection="1"/>
    <xf numFmtId="0" fontId="5" fillId="11" borderId="8" xfId="0" applyFont="1" applyFill="1" applyBorder="1" applyAlignment="1" applyProtection="1">
      <alignment horizontal="right" vertical="center" indent="1"/>
      <protection locked="0"/>
    </xf>
    <xf numFmtId="0" fontId="5" fillId="11" borderId="1" xfId="0" applyFont="1" applyFill="1" applyBorder="1" applyAlignment="1" applyProtection="1">
      <alignment horizontal="right" vertical="center" indent="1"/>
      <protection locked="0"/>
    </xf>
    <xf numFmtId="0" fontId="5" fillId="11" borderId="5" xfId="0" applyFont="1" applyFill="1" applyBorder="1" applyAlignment="1" applyProtection="1">
      <alignment horizontal="right" vertical="center" indent="1"/>
      <protection locked="0"/>
    </xf>
    <xf numFmtId="0" fontId="3" fillId="3" borderId="10" xfId="0" applyFont="1" applyFill="1" applyBorder="1" applyAlignment="1" applyProtection="1">
      <alignment horizontal="right"/>
    </xf>
    <xf numFmtId="0" fontId="3" fillId="4" borderId="11" xfId="0" applyFont="1" applyFill="1" applyBorder="1" applyAlignment="1" applyProtection="1">
      <alignment horizontal="right"/>
    </xf>
    <xf numFmtId="0" fontId="3" fillId="3" borderId="11" xfId="0" applyFont="1" applyFill="1" applyBorder="1" applyAlignment="1" applyProtection="1">
      <alignment horizontal="right"/>
    </xf>
    <xf numFmtId="0" fontId="3" fillId="3" borderId="12" xfId="0" applyFont="1" applyFill="1" applyBorder="1" applyAlignment="1" applyProtection="1">
      <alignment horizontal="right"/>
    </xf>
    <xf numFmtId="165" fontId="0" fillId="3" borderId="8" xfId="2" applyNumberFormat="1" applyFont="1" applyFill="1" applyBorder="1" applyProtection="1"/>
    <xf numFmtId="165" fontId="0" fillId="4" borderId="8" xfId="2" applyNumberFormat="1" applyFont="1" applyFill="1" applyBorder="1" applyProtection="1"/>
    <xf numFmtId="165" fontId="0" fillId="3" borderId="9" xfId="2" applyNumberFormat="1" applyFont="1" applyFill="1" applyBorder="1" applyProtection="1"/>
    <xf numFmtId="0" fontId="3" fillId="4" borderId="12" xfId="0" applyFont="1" applyFill="1" applyBorder="1" applyAlignment="1" applyProtection="1">
      <alignment horizontal="right"/>
    </xf>
    <xf numFmtId="165" fontId="0" fillId="4" borderId="9" xfId="2" applyNumberFormat="1" applyFont="1" applyFill="1" applyBorder="1" applyProtection="1"/>
    <xf numFmtId="165" fontId="0" fillId="4" borderId="3" xfId="2" applyNumberFormat="1" applyFont="1" applyFill="1" applyBorder="1" applyProtection="1"/>
    <xf numFmtId="0" fontId="4" fillId="7" borderId="19" xfId="0" applyFont="1" applyFill="1" applyBorder="1" applyAlignment="1" applyProtection="1">
      <alignment horizontal="left" vertical="center" indent="1"/>
    </xf>
    <xf numFmtId="0" fontId="4" fillId="7" borderId="21" xfId="0" applyFont="1" applyFill="1" applyBorder="1" applyAlignment="1" applyProtection="1">
      <alignment horizontal="right" vertical="center" indent="1"/>
    </xf>
    <xf numFmtId="0" fontId="4" fillId="7" borderId="20" xfId="0" applyFont="1" applyFill="1" applyBorder="1" applyAlignment="1" applyProtection="1">
      <alignment horizontal="left" vertical="center" indent="1"/>
    </xf>
    <xf numFmtId="0" fontId="5" fillId="10" borderId="23" xfId="0" applyFont="1" applyFill="1" applyBorder="1" applyAlignment="1" applyProtection="1">
      <alignment horizontal="right" vertical="center" indent="1"/>
    </xf>
    <xf numFmtId="9" fontId="5" fillId="10" borderId="1" xfId="2" applyFont="1" applyFill="1" applyBorder="1" applyAlignment="1" applyProtection="1">
      <alignment horizontal="right" vertical="center" indent="1"/>
    </xf>
    <xf numFmtId="0" fontId="5" fillId="10" borderId="1" xfId="0" applyFont="1" applyFill="1" applyBorder="1" applyAlignment="1" applyProtection="1">
      <alignment horizontal="right" vertical="center" indent="1"/>
    </xf>
    <xf numFmtId="9" fontId="5" fillId="10" borderId="1" xfId="2" applyNumberFormat="1" applyFont="1" applyFill="1" applyBorder="1" applyAlignment="1" applyProtection="1">
      <alignment horizontal="right" vertical="center" indent="1"/>
    </xf>
    <xf numFmtId="9" fontId="5" fillId="2" borderId="24" xfId="2" applyFont="1" applyFill="1" applyBorder="1" applyAlignment="1" applyProtection="1">
      <alignment horizontal="left" vertical="center" indent="1"/>
    </xf>
    <xf numFmtId="9" fontId="5" fillId="2" borderId="3" xfId="2" applyFont="1" applyFill="1" applyBorder="1" applyAlignment="1" applyProtection="1">
      <alignment horizontal="left" vertical="center" indent="1"/>
    </xf>
    <xf numFmtId="9" fontId="5" fillId="2" borderId="3" xfId="2" applyNumberFormat="1" applyFont="1" applyFill="1" applyBorder="1" applyAlignment="1" applyProtection="1">
      <alignment horizontal="left" vertical="center" indent="1"/>
    </xf>
    <xf numFmtId="0" fontId="9" fillId="2" borderId="3" xfId="0" applyFont="1" applyFill="1" applyBorder="1" applyAlignment="1" applyProtection="1">
      <alignment horizontal="left" vertical="center" indent="1"/>
    </xf>
    <xf numFmtId="0" fontId="13" fillId="10" borderId="17" xfId="0" applyFont="1" applyFill="1" applyBorder="1" applyAlignment="1" applyProtection="1">
      <alignment horizontal="left" vertical="center" indent="1"/>
    </xf>
    <xf numFmtId="0" fontId="9" fillId="2" borderId="22" xfId="0" applyFont="1" applyFill="1" applyBorder="1" applyAlignment="1" applyProtection="1">
      <alignment horizontal="left" vertical="center" indent="1"/>
    </xf>
    <xf numFmtId="0" fontId="9" fillId="2" borderId="2" xfId="0" applyFont="1" applyFill="1" applyBorder="1" applyAlignment="1" applyProtection="1">
      <alignment horizontal="left" vertical="center" indent="1"/>
    </xf>
    <xf numFmtId="0" fontId="0" fillId="0" borderId="0" xfId="0" applyFont="1" applyProtection="1"/>
    <xf numFmtId="0" fontId="0" fillId="0" borderId="0" xfId="0" applyFont="1" applyAlignment="1" applyProtection="1">
      <alignment horizontal="left" indent="2"/>
    </xf>
    <xf numFmtId="0" fontId="13" fillId="11" borderId="17" xfId="0" applyFont="1" applyFill="1" applyBorder="1" applyAlignment="1" applyProtection="1">
      <alignment horizontal="left" vertical="center" indent="1"/>
    </xf>
    <xf numFmtId="0" fontId="0" fillId="0" borderId="0" xfId="0" applyFont="1" applyAlignment="1" applyProtection="1">
      <alignment vertical="center"/>
    </xf>
    <xf numFmtId="0" fontId="0" fillId="6" borderId="0" xfId="0" applyFill="1" applyBorder="1" applyAlignment="1">
      <alignment wrapText="1"/>
    </xf>
    <xf numFmtId="0" fontId="13" fillId="6" borderId="1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9" fillId="6" borderId="25" xfId="0" applyFont="1" applyFill="1" applyBorder="1" applyAlignment="1">
      <alignment horizontal="center" vertical="center" wrapText="1"/>
    </xf>
    <xf numFmtId="0" fontId="7" fillId="6" borderId="25"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8" fillId="0" borderId="25" xfId="0" applyFont="1" applyBorder="1" applyAlignment="1">
      <alignment horizontal="left" vertical="top" wrapText="1"/>
    </xf>
    <xf numFmtId="0" fontId="15" fillId="0" borderId="1" xfId="0" applyFont="1" applyBorder="1" applyAlignment="1">
      <alignment horizontal="left" vertical="center" wrapText="1"/>
    </xf>
    <xf numFmtId="165" fontId="0" fillId="5" borderId="8" xfId="0" applyNumberFormat="1" applyFill="1" applyBorder="1" applyProtection="1"/>
    <xf numFmtId="165" fontId="0" fillId="5" borderId="1" xfId="0" applyNumberFormat="1" applyFill="1" applyBorder="1" applyProtection="1"/>
    <xf numFmtId="164" fontId="5" fillId="11" borderId="1" xfId="0" applyNumberFormat="1" applyFont="1" applyFill="1" applyBorder="1" applyAlignment="1" applyProtection="1">
      <alignment horizontal="right" vertical="center" indent="1"/>
      <protection locked="0"/>
    </xf>
    <xf numFmtId="0" fontId="0" fillId="3" borderId="16" xfId="0" applyFill="1" applyBorder="1" applyProtection="1"/>
    <xf numFmtId="0" fontId="0" fillId="3" borderId="1" xfId="0" applyFill="1" applyBorder="1" applyProtection="1"/>
    <xf numFmtId="0" fontId="3" fillId="9" borderId="30" xfId="0" applyFont="1" applyFill="1" applyBorder="1" applyProtection="1"/>
    <xf numFmtId="0" fontId="3" fillId="9" borderId="1" xfId="0" applyFont="1" applyFill="1" applyBorder="1" applyProtection="1"/>
    <xf numFmtId="0" fontId="9" fillId="10" borderId="2" xfId="0" applyFont="1" applyFill="1" applyBorder="1" applyAlignment="1" applyProtection="1">
      <alignment horizontal="left" vertical="center" indent="1"/>
    </xf>
    <xf numFmtId="0" fontId="9" fillId="10" borderId="3" xfId="0" applyFont="1" applyFill="1" applyBorder="1" applyAlignment="1" applyProtection="1">
      <alignment horizontal="left" vertical="center" indent="1"/>
    </xf>
    <xf numFmtId="0" fontId="9" fillId="10" borderId="4" xfId="0" applyFont="1" applyFill="1" applyBorder="1" applyAlignment="1" applyProtection="1">
      <alignment horizontal="left" vertical="center" indent="1"/>
    </xf>
    <xf numFmtId="0" fontId="9" fillId="10" borderId="6" xfId="0" applyFont="1" applyFill="1" applyBorder="1" applyAlignment="1" applyProtection="1">
      <alignment horizontal="left" vertical="center" indent="1"/>
    </xf>
    <xf numFmtId="0" fontId="9" fillId="5" borderId="31" xfId="0" applyFont="1" applyFill="1" applyBorder="1" applyAlignment="1" applyProtection="1">
      <alignment horizontal="left" vertical="center" indent="1"/>
    </xf>
    <xf numFmtId="0" fontId="9" fillId="5" borderId="32" xfId="0" applyFont="1" applyFill="1" applyBorder="1" applyAlignment="1" applyProtection="1">
      <alignment horizontal="left" vertical="center" indent="1"/>
    </xf>
    <xf numFmtId="0" fontId="4" fillId="4" borderId="17" xfId="0" applyFont="1" applyFill="1" applyBorder="1" applyAlignment="1" applyProtection="1">
      <alignment horizontal="right" indent="1"/>
    </xf>
    <xf numFmtId="0" fontId="4" fillId="4" borderId="17" xfId="0" applyFont="1" applyFill="1" applyBorder="1" applyAlignment="1" applyProtection="1">
      <alignment horizontal="left" indent="1"/>
    </xf>
    <xf numFmtId="0" fontId="0" fillId="5" borderId="33" xfId="0" applyFont="1" applyFill="1" applyBorder="1" applyAlignment="1" applyProtection="1">
      <alignment horizontal="left" vertical="center" indent="1"/>
    </xf>
    <xf numFmtId="0" fontId="0" fillId="5" borderId="34" xfId="0" applyFont="1" applyFill="1" applyBorder="1" applyAlignment="1" applyProtection="1">
      <alignment horizontal="left" vertical="center" indent="1"/>
    </xf>
    <xf numFmtId="0" fontId="10" fillId="5" borderId="26" xfId="1" applyFill="1" applyBorder="1" applyAlignment="1" applyProtection="1">
      <alignment horizontal="left" vertical="center" indent="1"/>
    </xf>
    <xf numFmtId="0" fontId="4" fillId="4" borderId="35" xfId="0" applyFont="1" applyFill="1" applyBorder="1" applyAlignment="1" applyProtection="1">
      <alignment horizontal="left" indent="1"/>
    </xf>
    <xf numFmtId="0" fontId="9" fillId="12" borderId="31" xfId="0" applyFont="1" applyFill="1" applyBorder="1" applyAlignment="1" applyProtection="1">
      <alignment horizontal="left" vertical="center" indent="1"/>
    </xf>
    <xf numFmtId="0" fontId="9" fillId="13" borderId="31" xfId="0" applyFont="1" applyFill="1" applyBorder="1" applyAlignment="1" applyProtection="1">
      <alignment horizontal="left" vertical="center" indent="1"/>
    </xf>
    <xf numFmtId="0" fontId="9" fillId="12" borderId="34" xfId="0" applyFont="1" applyFill="1" applyBorder="1" applyAlignment="1" applyProtection="1">
      <alignment horizontal="left" vertical="center" indent="1"/>
    </xf>
    <xf numFmtId="0" fontId="9" fillId="14" borderId="2" xfId="0" applyFont="1" applyFill="1" applyBorder="1" applyAlignment="1" applyProtection="1">
      <alignment horizontal="left" vertical="center" indent="1"/>
    </xf>
    <xf numFmtId="0" fontId="9" fillId="14" borderId="3" xfId="0" applyFont="1" applyFill="1" applyBorder="1" applyAlignment="1" applyProtection="1">
      <alignment horizontal="left" vertical="center" indent="1"/>
    </xf>
    <xf numFmtId="0" fontId="9" fillId="13" borderId="2" xfId="0" applyFont="1" applyFill="1" applyBorder="1" applyAlignment="1" applyProtection="1">
      <alignment horizontal="left" vertical="center" indent="1"/>
    </xf>
    <xf numFmtId="0" fontId="9" fillId="13" borderId="3" xfId="0" applyFont="1" applyFill="1" applyBorder="1" applyAlignment="1" applyProtection="1">
      <alignment horizontal="left" vertical="center" indent="1"/>
    </xf>
    <xf numFmtId="0" fontId="3" fillId="3" borderId="36" xfId="0" applyFont="1" applyFill="1" applyBorder="1" applyAlignment="1" applyProtection="1">
      <alignment horizontal="right"/>
    </xf>
    <xf numFmtId="0" fontId="0" fillId="3" borderId="37" xfId="0" applyFill="1" applyBorder="1" applyProtection="1"/>
    <xf numFmtId="0" fontId="0" fillId="3" borderId="38" xfId="0" applyFill="1" applyBorder="1" applyProtection="1"/>
    <xf numFmtId="0" fontId="9" fillId="10" borderId="7" xfId="0" applyFont="1" applyFill="1" applyBorder="1" applyAlignment="1" applyProtection="1">
      <alignment horizontal="left" vertical="center" indent="1"/>
    </xf>
    <xf numFmtId="0" fontId="5" fillId="10" borderId="8" xfId="0" applyFont="1" applyFill="1" applyBorder="1" applyAlignment="1" applyProtection="1">
      <alignment horizontal="right" vertical="center" indent="1"/>
    </xf>
    <xf numFmtId="0" fontId="9" fillId="10" borderId="9" xfId="0" applyFont="1" applyFill="1" applyBorder="1" applyAlignment="1" applyProtection="1">
      <alignment horizontal="left" vertical="center" indent="1"/>
    </xf>
    <xf numFmtId="0" fontId="4" fillId="7" borderId="35" xfId="0" applyFont="1" applyFill="1" applyBorder="1" applyAlignment="1" applyProtection="1">
      <alignment horizontal="left" vertical="center" indent="1"/>
    </xf>
    <xf numFmtId="0" fontId="4" fillId="7" borderId="11" xfId="0" applyFont="1" applyFill="1" applyBorder="1" applyAlignment="1" applyProtection="1">
      <alignment horizontal="right" vertical="center" indent="1"/>
    </xf>
    <xf numFmtId="0" fontId="4" fillId="7" borderId="12" xfId="0" applyFont="1" applyFill="1" applyBorder="1" applyAlignment="1" applyProtection="1">
      <alignment horizontal="left" vertical="center" indent="1"/>
    </xf>
    <xf numFmtId="9" fontId="5" fillId="10" borderId="5" xfId="2" applyNumberFormat="1" applyFont="1" applyFill="1" applyBorder="1" applyAlignment="1" applyProtection="1">
      <alignment horizontal="right" vertical="center" indent="1"/>
    </xf>
    <xf numFmtId="0" fontId="17" fillId="0" borderId="0" xfId="3" applyFont="1" applyAlignment="1">
      <alignment vertical="top" wrapText="1"/>
    </xf>
    <xf numFmtId="0" fontId="0" fillId="0" borderId="0" xfId="0" applyAlignment="1"/>
    <xf numFmtId="0" fontId="17" fillId="0" borderId="0" xfId="3" applyFont="1" applyAlignment="1">
      <alignment wrapText="1"/>
    </xf>
    <xf numFmtId="0" fontId="17" fillId="0" borderId="0" xfId="3" applyAlignment="1">
      <alignment wrapText="1"/>
    </xf>
    <xf numFmtId="0" fontId="18" fillId="0" borderId="0" xfId="3" applyFont="1" applyAlignment="1">
      <alignment wrapText="1"/>
    </xf>
    <xf numFmtId="0" fontId="19" fillId="0" borderId="0" xfId="3" applyFont="1" applyAlignment="1">
      <alignment wrapText="1"/>
    </xf>
    <xf numFmtId="0" fontId="17" fillId="0" borderId="0" xfId="3" applyFont="1" applyBorder="1" applyAlignment="1">
      <alignment vertical="top" wrapText="1"/>
    </xf>
    <xf numFmtId="0" fontId="0" fillId="0" borderId="0" xfId="0" applyBorder="1" applyAlignment="1"/>
    <xf numFmtId="0" fontId="20" fillId="0" borderId="0" xfId="3" applyFont="1" applyAlignment="1">
      <alignment vertical="top" wrapText="1"/>
    </xf>
    <xf numFmtId="0" fontId="4" fillId="8" borderId="14" xfId="0" applyFont="1" applyFill="1" applyBorder="1" applyAlignment="1" applyProtection="1">
      <alignment horizontal="left"/>
    </xf>
    <xf numFmtId="0" fontId="4" fillId="8" borderId="13" xfId="0" applyFont="1" applyFill="1" applyBorder="1" applyAlignment="1" applyProtection="1">
      <alignment horizontal="left"/>
    </xf>
    <xf numFmtId="0" fontId="4" fillId="8" borderId="15" xfId="0" applyFont="1" applyFill="1" applyBorder="1" applyAlignment="1" applyProtection="1">
      <alignment horizontal="left"/>
    </xf>
    <xf numFmtId="0" fontId="0" fillId="4" borderId="8" xfId="0" applyFill="1" applyBorder="1" applyAlignment="1" applyProtection="1">
      <alignment horizontal="left" indent="2"/>
    </xf>
    <xf numFmtId="0" fontId="0" fillId="4" borderId="9" xfId="0" applyFill="1" applyBorder="1" applyAlignment="1" applyProtection="1">
      <alignment horizontal="left" indent="2"/>
    </xf>
    <xf numFmtId="0" fontId="0" fillId="4" borderId="1" xfId="0" applyFill="1" applyBorder="1" applyAlignment="1" applyProtection="1">
      <alignment horizontal="left" indent="2"/>
    </xf>
    <xf numFmtId="0" fontId="0" fillId="4" borderId="3" xfId="0" applyFill="1" applyBorder="1" applyAlignment="1" applyProtection="1">
      <alignment horizontal="left" indent="2"/>
    </xf>
    <xf numFmtId="0" fontId="0" fillId="4" borderId="5" xfId="0" applyFill="1" applyBorder="1" applyAlignment="1" applyProtection="1">
      <alignment horizontal="left" indent="2"/>
    </xf>
    <xf numFmtId="0" fontId="0" fillId="4" borderId="6" xfId="0" applyFill="1" applyBorder="1" applyAlignment="1" applyProtection="1">
      <alignment horizontal="left" indent="2"/>
    </xf>
    <xf numFmtId="0" fontId="0" fillId="4" borderId="27" xfId="0" applyFill="1" applyBorder="1" applyAlignment="1" applyProtection="1">
      <alignment horizontal="left" indent="2"/>
    </xf>
    <xf numFmtId="0" fontId="0" fillId="4" borderId="28" xfId="0" applyFill="1" applyBorder="1" applyAlignment="1" applyProtection="1">
      <alignment horizontal="left" indent="2"/>
    </xf>
    <xf numFmtId="0" fontId="0" fillId="4" borderId="29" xfId="0" applyFill="1" applyBorder="1" applyAlignment="1" applyProtection="1">
      <alignment horizontal="left" indent="2"/>
    </xf>
    <xf numFmtId="0" fontId="0" fillId="0" borderId="0" xfId="0" applyAlignment="1" applyProtection="1">
      <alignment horizontal="left" indent="2"/>
    </xf>
    <xf numFmtId="0" fontId="0" fillId="4" borderId="11" xfId="0" applyFill="1" applyBorder="1" applyAlignment="1" applyProtection="1">
      <alignment horizontal="left" indent="2"/>
    </xf>
    <xf numFmtId="0" fontId="0" fillId="4" borderId="12" xfId="0" applyFill="1" applyBorder="1" applyAlignment="1" applyProtection="1">
      <alignment horizontal="left" indent="2"/>
    </xf>
    <xf numFmtId="0" fontId="6" fillId="4" borderId="1" xfId="0" applyFont="1" applyFill="1" applyBorder="1" applyAlignment="1" applyProtection="1">
      <alignment horizontal="left" indent="2"/>
    </xf>
    <xf numFmtId="0" fontId="6" fillId="4" borderId="3" xfId="0" applyFont="1" applyFill="1" applyBorder="1" applyAlignment="1" applyProtection="1">
      <alignment horizontal="left" indent="2"/>
    </xf>
  </cellXfs>
  <cellStyles count="4">
    <cellStyle name="Hyperlink" xfId="1" builtinId="8"/>
    <cellStyle name="Normal" xfId="0" builtinId="0"/>
    <cellStyle name="Normal 2" xfId="3"/>
    <cellStyle name="Percent" xfId="2" builtinId="5"/>
  </cellStyles>
  <dxfs count="6">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pec.org/cgi-bin/osgresults?conf=rint2006"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pec.org/cgi-bin/osgresults?conf=rint2006"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https://www.spec.org/cgi-bin/osgresults?conf=rint2006"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showGridLines="0" tabSelected="1" workbookViewId="0">
      <selection activeCell="M2" sqref="M2"/>
    </sheetView>
  </sheetViews>
  <sheetFormatPr defaultRowHeight="15" x14ac:dyDescent="0.25"/>
  <sheetData>
    <row r="1" spans="1:12" ht="18" x14ac:dyDescent="0.25">
      <c r="A1" s="100" t="s">
        <v>84</v>
      </c>
      <c r="B1" s="101"/>
      <c r="C1" s="101"/>
      <c r="D1" s="101"/>
      <c r="E1" s="101"/>
      <c r="F1" s="101"/>
      <c r="G1" s="101"/>
      <c r="H1" s="101"/>
      <c r="I1" s="101"/>
      <c r="J1" s="101"/>
      <c r="K1" s="101"/>
      <c r="L1" s="101"/>
    </row>
    <row r="3" spans="1:12" ht="59.25" customHeight="1" x14ac:dyDescent="0.25">
      <c r="A3" s="102" t="s">
        <v>158</v>
      </c>
      <c r="B3" s="103"/>
      <c r="C3" s="103"/>
      <c r="D3" s="103"/>
      <c r="E3" s="103"/>
      <c r="F3" s="103"/>
      <c r="G3" s="103"/>
      <c r="H3" s="103"/>
      <c r="I3" s="103"/>
      <c r="J3" s="103"/>
      <c r="K3" s="103"/>
      <c r="L3" s="103"/>
    </row>
    <row r="4" spans="1:12" ht="51" customHeight="1" x14ac:dyDescent="0.25">
      <c r="A4" s="96" t="s">
        <v>157</v>
      </c>
      <c r="B4" s="97"/>
      <c r="C4" s="97"/>
      <c r="D4" s="97"/>
      <c r="E4" s="97"/>
      <c r="F4" s="97"/>
      <c r="G4" s="97"/>
      <c r="H4" s="97"/>
      <c r="I4" s="97"/>
      <c r="J4" s="97"/>
      <c r="K4" s="97"/>
      <c r="L4" s="97"/>
    </row>
    <row r="5" spans="1:12" ht="102.75" customHeight="1" x14ac:dyDescent="0.25">
      <c r="A5" s="96" t="s">
        <v>78</v>
      </c>
      <c r="B5" s="97"/>
      <c r="C5" s="97"/>
      <c r="D5" s="97"/>
      <c r="E5" s="97"/>
      <c r="F5" s="97"/>
      <c r="G5" s="97"/>
      <c r="H5" s="97"/>
      <c r="I5" s="97"/>
      <c r="J5" s="97"/>
      <c r="K5" s="97"/>
      <c r="L5" s="97"/>
    </row>
    <row r="6" spans="1:12" ht="42" customHeight="1" x14ac:dyDescent="0.25">
      <c r="A6" s="104" t="s">
        <v>79</v>
      </c>
      <c r="B6" s="97"/>
      <c r="C6" s="97"/>
      <c r="D6" s="97"/>
      <c r="E6" s="97"/>
      <c r="F6" s="97"/>
      <c r="G6" s="97"/>
      <c r="H6" s="97"/>
      <c r="I6" s="97"/>
      <c r="J6" s="97"/>
      <c r="K6" s="97"/>
      <c r="L6" s="97"/>
    </row>
    <row r="7" spans="1:12" ht="45" customHeight="1" x14ac:dyDescent="0.25">
      <c r="A7" s="96" t="s">
        <v>80</v>
      </c>
      <c r="B7" s="97"/>
      <c r="C7" s="97"/>
      <c r="D7" s="97"/>
      <c r="E7" s="97"/>
      <c r="F7" s="97"/>
      <c r="G7" s="97"/>
      <c r="H7" s="97"/>
      <c r="I7" s="97"/>
      <c r="J7" s="97"/>
      <c r="K7" s="97"/>
      <c r="L7" s="97"/>
    </row>
    <row r="8" spans="1:12" ht="27.75" customHeight="1" x14ac:dyDescent="0.25">
      <c r="A8" s="96" t="s">
        <v>81</v>
      </c>
      <c r="B8" s="97"/>
      <c r="C8" s="97"/>
      <c r="D8" s="97"/>
      <c r="E8" s="97"/>
      <c r="F8" s="97"/>
      <c r="G8" s="97"/>
      <c r="H8" s="97"/>
      <c r="I8" s="97"/>
      <c r="J8" s="97"/>
      <c r="K8" s="97"/>
      <c r="L8" s="97"/>
    </row>
    <row r="9" spans="1:12" ht="31.5" customHeight="1" x14ac:dyDescent="0.25">
      <c r="A9" s="96" t="s">
        <v>82</v>
      </c>
      <c r="B9" s="97"/>
      <c r="C9" s="97"/>
      <c r="D9" s="97"/>
      <c r="E9" s="97"/>
      <c r="F9" s="97"/>
      <c r="G9" s="97"/>
      <c r="H9" s="97"/>
      <c r="I9" s="97"/>
      <c r="J9" s="97"/>
      <c r="K9" s="97"/>
      <c r="L9" s="97"/>
    </row>
    <row r="10" spans="1:12" ht="39" customHeight="1" x14ac:dyDescent="0.25">
      <c r="A10" s="96" t="s">
        <v>83</v>
      </c>
      <c r="B10" s="97"/>
      <c r="C10" s="97"/>
      <c r="D10" s="97"/>
      <c r="E10" s="97"/>
      <c r="F10" s="97"/>
      <c r="G10" s="97"/>
      <c r="H10" s="97"/>
      <c r="I10" s="97"/>
      <c r="J10" s="97"/>
      <c r="K10" s="97"/>
      <c r="L10" s="97"/>
    </row>
    <row r="12" spans="1:12" x14ac:dyDescent="0.25">
      <c r="A12" s="98" t="s">
        <v>156</v>
      </c>
      <c r="B12" s="99"/>
      <c r="C12" s="99"/>
      <c r="D12" s="99"/>
      <c r="E12" s="99"/>
      <c r="F12" s="99"/>
      <c r="G12" s="99"/>
      <c r="H12" s="99"/>
      <c r="I12" s="99"/>
      <c r="J12" s="99"/>
      <c r="K12" s="99"/>
      <c r="L12" s="99"/>
    </row>
  </sheetData>
  <sheetProtection sheet="1" objects="1" scenarios="1" selectLockedCells="1" selectUnlockedCells="1"/>
  <mergeCells count="10">
    <mergeCell ref="A8:L8"/>
    <mergeCell ref="A9:L9"/>
    <mergeCell ref="A10:L10"/>
    <mergeCell ref="A12:L12"/>
    <mergeCell ref="A1:L1"/>
    <mergeCell ref="A3:L3"/>
    <mergeCell ref="A4:L4"/>
    <mergeCell ref="A5:L5"/>
    <mergeCell ref="A6:L6"/>
    <mergeCell ref="A7:L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B11"/>
  <sheetViews>
    <sheetView showGridLines="0" workbookViewId="0">
      <selection activeCell="B9" sqref="B9"/>
    </sheetView>
  </sheetViews>
  <sheetFormatPr defaultColWidth="9.140625" defaultRowHeight="15" x14ac:dyDescent="0.25"/>
  <cols>
    <col min="1" max="1" width="2.28515625" style="52" customWidth="1"/>
    <col min="2" max="2" width="121.42578125" style="52" customWidth="1"/>
    <col min="3" max="16384" width="9.140625" style="52"/>
  </cols>
  <sheetData>
    <row r="1" spans="2:2" ht="3" customHeight="1" x14ac:dyDescent="0.25"/>
    <row r="2" spans="2:2" ht="23.25" x14ac:dyDescent="0.25">
      <c r="B2" s="53"/>
    </row>
    <row r="3" spans="2:2" ht="23.25" x14ac:dyDescent="0.25">
      <c r="B3" s="54"/>
    </row>
    <row r="4" spans="2:2" ht="16.899999999999999" customHeight="1" x14ac:dyDescent="0.25">
      <c r="B4" s="55"/>
    </row>
    <row r="5" spans="2:2" ht="14.45" customHeight="1" x14ac:dyDescent="0.25">
      <c r="B5" s="56"/>
    </row>
    <row r="6" spans="2:2" ht="24.6" customHeight="1" x14ac:dyDescent="0.25">
      <c r="B6" s="57" t="s">
        <v>63</v>
      </c>
    </row>
    <row r="7" spans="2:2" ht="25.15" customHeight="1" x14ac:dyDescent="0.25">
      <c r="B7" s="58" t="s">
        <v>85</v>
      </c>
    </row>
    <row r="8" spans="2:2" ht="44.25" customHeight="1" x14ac:dyDescent="0.25">
      <c r="B8" s="58" t="s">
        <v>73</v>
      </c>
    </row>
    <row r="9" spans="2:2" ht="48" customHeight="1" x14ac:dyDescent="0.25">
      <c r="B9" s="58" t="s">
        <v>86</v>
      </c>
    </row>
    <row r="10" spans="2:2" ht="93.75" customHeight="1" x14ac:dyDescent="0.25">
      <c r="B10" s="58" t="s">
        <v>87</v>
      </c>
    </row>
    <row r="11" spans="2:2" ht="41.25" hidden="1" customHeight="1" x14ac:dyDescent="0.25">
      <c r="B11" s="59"/>
    </row>
  </sheetData>
  <sheetProtection sheet="1" objects="1" scenarios="1" selectLockedCells="1" selectUnlockedCells="1"/>
  <phoneticPr fontId="0" type="noConversion"/>
  <hyperlinks>
    <hyperlink ref="B8" r:id="rId1" display="https://www.spec.org/cgi-bin/osgresults?conf=rint2006"/>
  </hyperlinks>
  <pageMargins left="0.7" right="0.7" top="0.75" bottom="0.75" header="0.3" footer="0.3"/>
  <pageSetup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D34"/>
  <sheetViews>
    <sheetView workbookViewId="0">
      <selection activeCell="C4" sqref="C4"/>
    </sheetView>
  </sheetViews>
  <sheetFormatPr defaultColWidth="9.140625" defaultRowHeight="15" x14ac:dyDescent="0.25"/>
  <cols>
    <col min="1" max="1" width="0.7109375" style="48" customWidth="1"/>
    <col min="2" max="2" width="33.5703125" style="48" customWidth="1"/>
    <col min="3" max="3" width="11.28515625" style="48" customWidth="1"/>
    <col min="4" max="4" width="71" style="48" customWidth="1"/>
    <col min="5" max="16384" width="9.140625" style="48"/>
  </cols>
  <sheetData>
    <row r="1" spans="2:4" ht="15" customHeight="1" thickBot="1" x14ac:dyDescent="0.3"/>
    <row r="2" spans="2:4" ht="26.45" customHeight="1" thickBot="1" x14ac:dyDescent="0.3">
      <c r="B2" s="50" t="s">
        <v>65</v>
      </c>
    </row>
    <row r="3" spans="2:4" ht="18.600000000000001" customHeight="1" thickBot="1" x14ac:dyDescent="0.35">
      <c r="B3" s="78" t="s">
        <v>45</v>
      </c>
      <c r="C3" s="73" t="s">
        <v>50</v>
      </c>
      <c r="D3" s="74" t="s">
        <v>28</v>
      </c>
    </row>
    <row r="4" spans="2:4" s="51" customFormat="1" ht="19.149999999999999" customHeight="1" x14ac:dyDescent="0.25">
      <c r="B4" s="71" t="s">
        <v>46</v>
      </c>
      <c r="C4" s="21">
        <v>1500</v>
      </c>
      <c r="D4" s="75" t="s">
        <v>52</v>
      </c>
    </row>
    <row r="5" spans="2:4" s="51" customFormat="1" ht="19.149999999999999" customHeight="1" x14ac:dyDescent="0.25">
      <c r="B5" s="80" t="s">
        <v>55</v>
      </c>
      <c r="C5" s="62">
        <v>2</v>
      </c>
      <c r="D5" s="85" t="s">
        <v>88</v>
      </c>
    </row>
    <row r="6" spans="2:4" s="51" customFormat="1" ht="19.149999999999999" customHeight="1" x14ac:dyDescent="0.25">
      <c r="B6" s="84" t="s">
        <v>53</v>
      </c>
      <c r="C6" s="22">
        <v>600</v>
      </c>
      <c r="D6" s="85"/>
    </row>
    <row r="7" spans="2:4" s="51" customFormat="1" ht="19.149999999999999" customHeight="1" x14ac:dyDescent="0.25">
      <c r="B7" s="82" t="s">
        <v>89</v>
      </c>
      <c r="C7" s="62">
        <v>0</v>
      </c>
      <c r="D7" s="83"/>
    </row>
    <row r="8" spans="2:4" s="51" customFormat="1" ht="19.149999999999999" customHeight="1" x14ac:dyDescent="0.25">
      <c r="B8" s="82" t="s">
        <v>90</v>
      </c>
      <c r="C8" s="22">
        <v>0</v>
      </c>
      <c r="D8" s="83"/>
    </row>
    <row r="9" spans="2:4" s="51" customFormat="1" ht="19.149999999999999" customHeight="1" x14ac:dyDescent="0.25">
      <c r="B9" s="82" t="s">
        <v>142</v>
      </c>
      <c r="C9" s="22">
        <v>0</v>
      </c>
      <c r="D9" s="83" t="s">
        <v>152</v>
      </c>
    </row>
    <row r="10" spans="2:4" s="51" customFormat="1" ht="19.149999999999999" customHeight="1" x14ac:dyDescent="0.25">
      <c r="B10" s="79" t="s">
        <v>92</v>
      </c>
      <c r="C10" s="62">
        <v>0</v>
      </c>
      <c r="D10" s="81" t="s">
        <v>151</v>
      </c>
    </row>
    <row r="11" spans="2:4" s="51" customFormat="1" ht="19.149999999999999" customHeight="1" x14ac:dyDescent="0.25">
      <c r="B11" s="79" t="s">
        <v>93</v>
      </c>
      <c r="C11" s="62">
        <v>0</v>
      </c>
      <c r="D11" s="81" t="s">
        <v>149</v>
      </c>
    </row>
    <row r="12" spans="2:4" s="51" customFormat="1" ht="19.149999999999999" customHeight="1" x14ac:dyDescent="0.25">
      <c r="B12" s="79" t="s">
        <v>98</v>
      </c>
      <c r="C12" s="62">
        <v>0</v>
      </c>
      <c r="D12" s="81" t="s">
        <v>150</v>
      </c>
    </row>
    <row r="13" spans="2:4" s="51" customFormat="1" ht="19.149999999999999" customHeight="1" x14ac:dyDescent="0.25">
      <c r="B13" s="79" t="s">
        <v>146</v>
      </c>
      <c r="C13" s="22">
        <v>0</v>
      </c>
      <c r="D13" s="81" t="s">
        <v>147</v>
      </c>
    </row>
    <row r="14" spans="2:4" s="51" customFormat="1" ht="19.149999999999999" customHeight="1" x14ac:dyDescent="0.25">
      <c r="B14" s="71" t="s">
        <v>47</v>
      </c>
      <c r="C14" s="22">
        <v>10</v>
      </c>
      <c r="D14" s="76" t="s">
        <v>64</v>
      </c>
    </row>
    <row r="15" spans="2:4" s="51" customFormat="1" ht="19.149999999999999" customHeight="1" x14ac:dyDescent="0.25">
      <c r="B15" s="71" t="s">
        <v>48</v>
      </c>
      <c r="C15" s="22">
        <v>4</v>
      </c>
      <c r="D15" s="76"/>
    </row>
    <row r="16" spans="2:4" s="51" customFormat="1" ht="19.149999999999999" customHeight="1" thickBot="1" x14ac:dyDescent="0.3">
      <c r="B16" s="72" t="s">
        <v>49</v>
      </c>
      <c r="C16" s="23">
        <v>42</v>
      </c>
      <c r="D16" s="77" t="s">
        <v>51</v>
      </c>
    </row>
    <row r="17" spans="2:4" ht="15.75" thickBot="1" x14ac:dyDescent="0.3">
      <c r="D17" s="49"/>
    </row>
    <row r="18" spans="2:4" ht="26.45" customHeight="1" thickBot="1" x14ac:dyDescent="0.3">
      <c r="B18" s="45" t="s">
        <v>66</v>
      </c>
    </row>
    <row r="19" spans="2:4" ht="19.5" thickBot="1" x14ac:dyDescent="0.3">
      <c r="B19" s="36" t="s">
        <v>62</v>
      </c>
      <c r="C19" s="35" t="s">
        <v>50</v>
      </c>
      <c r="D19" s="34" t="s">
        <v>28</v>
      </c>
    </row>
    <row r="20" spans="2:4" ht="19.149999999999999" customHeight="1" x14ac:dyDescent="0.25">
      <c r="B20" s="46" t="s">
        <v>59</v>
      </c>
      <c r="C20" s="37">
        <f t="array" ref="C20">INDEX('Calculations-Hidden'!$A$47:$A$62,MATCH(1,('Calculations-Hidden'!$C$47:$C$62&lt;=$C$14)*('Calculations-Hidden'!$E$47:$E$62&lt;'Calculations-Hidden'!$B$37)*('Calculations-Hidden'!$M$47:$M$62&lt;'Calculations-Hidden'!$B$36),0))</f>
        <v>4</v>
      </c>
      <c r="D20" s="41"/>
    </row>
    <row r="21" spans="2:4" ht="19.149999999999999" customHeight="1" x14ac:dyDescent="0.25">
      <c r="B21" s="47" t="s">
        <v>56</v>
      </c>
      <c r="C21" s="38">
        <f t="array" ref="C21">INDEX('Calculations-Hidden'!$M$47:$M$62,MATCH(1,('Calculations-Hidden'!$C$47:$C$62&lt;=$C$14)*('Calculations-Hidden'!$E$47:$E$62&lt;'Calculations-Hidden'!$B$37)*('Calculations-Hidden'!$M$47:$M$62&lt;'Calculations-Hidden'!$B$36),0))</f>
        <v>1.4830992400000003</v>
      </c>
      <c r="D21" s="42"/>
    </row>
    <row r="22" spans="2:4" ht="19.149999999999999" customHeight="1" x14ac:dyDescent="0.25">
      <c r="B22" s="47" t="s">
        <v>60</v>
      </c>
      <c r="C22" s="39">
        <v>3</v>
      </c>
      <c r="D22" s="43"/>
    </row>
    <row r="23" spans="2:4" ht="19.149999999999999" customHeight="1" x14ac:dyDescent="0.25">
      <c r="B23" s="47" t="s">
        <v>57</v>
      </c>
      <c r="C23" s="40">
        <f>'Calculations-Hidden'!$X$48</f>
        <v>0.13635000000000003</v>
      </c>
      <c r="D23" s="43"/>
    </row>
    <row r="24" spans="2:4" ht="19.149999999999999" customHeight="1" x14ac:dyDescent="0.25">
      <c r="B24" s="47" t="s">
        <v>58</v>
      </c>
      <c r="C24" s="39">
        <v>2</v>
      </c>
      <c r="D24" s="44" t="s">
        <v>68</v>
      </c>
    </row>
    <row r="25" spans="2:4" ht="19.149999999999999" customHeight="1" x14ac:dyDescent="0.25">
      <c r="B25" s="47" t="s">
        <v>61</v>
      </c>
      <c r="C25" s="39">
        <v>3</v>
      </c>
      <c r="D25" s="44"/>
    </row>
    <row r="26" spans="2:4" ht="19.149999999999999" customHeight="1" thickBot="1" x14ac:dyDescent="0.3">
      <c r="B26" s="47" t="s">
        <v>77</v>
      </c>
      <c r="C26" s="40">
        <f>'Calculations-Hidden'!$X$55</f>
        <v>0.31484000000000001</v>
      </c>
      <c r="D26" s="44"/>
    </row>
    <row r="27" spans="2:4" ht="19.149999999999999" customHeight="1" thickBot="1" x14ac:dyDescent="0.3">
      <c r="B27" s="92" t="s">
        <v>141</v>
      </c>
      <c r="C27" s="93" t="s">
        <v>50</v>
      </c>
      <c r="D27" s="94" t="s">
        <v>28</v>
      </c>
    </row>
    <row r="28" spans="2:4" ht="19.149999999999999" customHeight="1" x14ac:dyDescent="0.25">
      <c r="B28" s="89" t="s">
        <v>54</v>
      </c>
      <c r="C28" s="90">
        <f>$C$5*$C$6</f>
        <v>1200</v>
      </c>
      <c r="D28" s="91"/>
    </row>
    <row r="29" spans="2:4" ht="19.5" customHeight="1" x14ac:dyDescent="0.25">
      <c r="B29" s="67" t="s">
        <v>155</v>
      </c>
      <c r="C29" s="38">
        <f>$C$28/$C$4</f>
        <v>0.8</v>
      </c>
      <c r="D29" s="68" t="s">
        <v>67</v>
      </c>
    </row>
    <row r="30" spans="2:4" ht="19.149999999999999" customHeight="1" x14ac:dyDescent="0.25">
      <c r="B30" s="67" t="s">
        <v>91</v>
      </c>
      <c r="C30" s="39">
        <f>C7*C8</f>
        <v>0</v>
      </c>
      <c r="D30" s="68"/>
    </row>
    <row r="31" spans="2:4" ht="19.149999999999999" customHeight="1" x14ac:dyDescent="0.25">
      <c r="B31" s="67" t="s">
        <v>140</v>
      </c>
      <c r="C31" s="40">
        <f>C7*C9</f>
        <v>0</v>
      </c>
      <c r="D31" s="68"/>
    </row>
    <row r="32" spans="2:4" ht="19.149999999999999" customHeight="1" x14ac:dyDescent="0.25">
      <c r="B32" s="67"/>
      <c r="C32" s="39"/>
      <c r="D32" s="68"/>
    </row>
    <row r="33" spans="2:4" ht="19.149999999999999" customHeight="1" x14ac:dyDescent="0.25">
      <c r="B33" s="67"/>
      <c r="C33" s="39"/>
      <c r="D33" s="68"/>
    </row>
    <row r="34" spans="2:4" ht="16.5" thickBot="1" x14ac:dyDescent="0.3">
      <c r="B34" s="69"/>
      <c r="C34" s="95"/>
      <c r="D34" s="70"/>
    </row>
  </sheetData>
  <sheetProtection sheet="1" selectLockedCells="1"/>
  <phoneticPr fontId="0" type="noConversion"/>
  <conditionalFormatting sqref="D29">
    <cfRule type="expression" dxfId="5" priority="7" stopIfTrue="1">
      <formula>$C$29&gt;1</formula>
    </cfRule>
  </conditionalFormatting>
  <conditionalFormatting sqref="D34">
    <cfRule type="expression" dxfId="4" priority="6" stopIfTrue="1">
      <formula>$C$29&gt;1</formula>
    </cfRule>
  </conditionalFormatting>
  <conditionalFormatting sqref="D33">
    <cfRule type="expression" dxfId="3" priority="5" stopIfTrue="1">
      <formula>$C$29&gt;1</formula>
    </cfRule>
  </conditionalFormatting>
  <conditionalFormatting sqref="D32">
    <cfRule type="expression" dxfId="2" priority="4" stopIfTrue="1">
      <formula>$C$29&gt;1</formula>
    </cfRule>
  </conditionalFormatting>
  <conditionalFormatting sqref="D31">
    <cfRule type="expression" dxfId="1" priority="3" stopIfTrue="1">
      <formula>$C$29&gt;1</formula>
    </cfRule>
  </conditionalFormatting>
  <conditionalFormatting sqref="D30">
    <cfRule type="expression" dxfId="0" priority="2" stopIfTrue="1">
      <formula>$C$29&gt;1</formula>
    </cfRule>
  </conditionalFormatting>
  <hyperlinks>
    <hyperlink ref="D16" r:id="rId1"/>
  </hyperlinks>
  <pageMargins left="0.7" right="0.7" top="0.75" bottom="0.75" header="0.3" footer="0.3"/>
  <pageSetup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2"/>
  <sheetViews>
    <sheetView topLeftCell="A31" zoomScaleNormal="100" workbookViewId="0">
      <selection activeCell="D48" sqref="D48"/>
    </sheetView>
  </sheetViews>
  <sheetFormatPr defaultColWidth="8.85546875" defaultRowHeight="15" x14ac:dyDescent="0.25"/>
  <cols>
    <col min="1" max="1" width="29.5703125" style="1" customWidth="1"/>
    <col min="2" max="2" width="13.42578125" style="1" bestFit="1" customWidth="1"/>
    <col min="3" max="3" width="13" style="1" customWidth="1"/>
    <col min="4" max="4" width="9.28515625" style="1" bestFit="1" customWidth="1"/>
    <col min="5" max="5" width="11.140625" style="1" bestFit="1" customWidth="1"/>
    <col min="6" max="6" width="13.85546875" style="1" bestFit="1" customWidth="1"/>
    <col min="7" max="10" width="8.85546875" style="1"/>
    <col min="11" max="11" width="9.140625" style="1" bestFit="1" customWidth="1"/>
    <col min="12" max="14" width="8.85546875" style="1"/>
    <col min="15" max="15" width="25.7109375" style="1" customWidth="1"/>
    <col min="16" max="16" width="11.85546875" style="1" customWidth="1"/>
    <col min="17" max="17" width="9.140625" style="1" bestFit="1" customWidth="1"/>
    <col min="18" max="18" width="8.85546875" style="1"/>
    <col min="19" max="20" width="11.28515625" style="1" customWidth="1"/>
    <col min="21" max="16384" width="8.85546875" style="1"/>
  </cols>
  <sheetData>
    <row r="1" spans="1:27" ht="19.5" thickBot="1" x14ac:dyDescent="0.35">
      <c r="A1" s="10" t="s">
        <v>29</v>
      </c>
      <c r="B1" s="12" t="s">
        <v>27</v>
      </c>
      <c r="C1" s="105" t="s">
        <v>28</v>
      </c>
      <c r="D1" s="106"/>
      <c r="E1" s="106"/>
      <c r="F1" s="106"/>
      <c r="G1" s="106"/>
      <c r="H1" s="106"/>
      <c r="I1" s="106"/>
      <c r="J1" s="106"/>
      <c r="K1" s="106"/>
      <c r="L1" s="106"/>
      <c r="M1" s="107"/>
      <c r="O1" s="10" t="s">
        <v>29</v>
      </c>
      <c r="P1" s="12" t="s">
        <v>27</v>
      </c>
      <c r="Q1" s="105" t="s">
        <v>28</v>
      </c>
      <c r="R1" s="106"/>
      <c r="S1" s="106"/>
      <c r="T1" s="106"/>
      <c r="U1" s="106"/>
      <c r="V1" s="106"/>
      <c r="W1" s="106"/>
      <c r="X1" s="106"/>
      <c r="Y1" s="106"/>
      <c r="Z1" s="106"/>
      <c r="AA1" s="107"/>
    </row>
    <row r="2" spans="1:27" x14ac:dyDescent="0.25">
      <c r="A2" s="3" t="s">
        <v>0</v>
      </c>
      <c r="B2" s="11">
        <v>30</v>
      </c>
      <c r="C2" s="108" t="s">
        <v>148</v>
      </c>
      <c r="D2" s="108"/>
      <c r="E2" s="108"/>
      <c r="F2" s="108"/>
      <c r="G2" s="108"/>
      <c r="H2" s="108"/>
      <c r="I2" s="108"/>
      <c r="J2" s="108"/>
      <c r="K2" s="108"/>
      <c r="L2" s="108"/>
      <c r="M2" s="109"/>
      <c r="O2" s="4" t="s">
        <v>36</v>
      </c>
      <c r="P2" s="6">
        <f>33/2000</f>
        <v>1.6500000000000001E-2</v>
      </c>
      <c r="Q2" s="110" t="s">
        <v>39</v>
      </c>
      <c r="R2" s="110"/>
      <c r="S2" s="110"/>
      <c r="T2" s="110"/>
      <c r="U2" s="110"/>
      <c r="V2" s="110"/>
      <c r="W2" s="110"/>
      <c r="X2" s="110"/>
      <c r="Y2" s="110"/>
      <c r="Z2" s="110"/>
      <c r="AA2" s="111"/>
    </row>
    <row r="3" spans="1:27" x14ac:dyDescent="0.25">
      <c r="A3" s="4" t="s">
        <v>113</v>
      </c>
      <c r="B3" s="6">
        <v>2.5</v>
      </c>
      <c r="C3" s="110" t="s">
        <v>69</v>
      </c>
      <c r="D3" s="110"/>
      <c r="E3" s="110"/>
      <c r="F3" s="110"/>
      <c r="G3" s="110"/>
      <c r="H3" s="110"/>
      <c r="I3" s="110"/>
      <c r="J3" s="110"/>
      <c r="K3" s="110"/>
      <c r="L3" s="110"/>
      <c r="M3" s="111"/>
      <c r="O3" s="4" t="s">
        <v>37</v>
      </c>
      <c r="P3" s="6">
        <v>0.48</v>
      </c>
      <c r="Q3" s="110"/>
      <c r="R3" s="110"/>
      <c r="S3" s="110"/>
      <c r="T3" s="110"/>
      <c r="U3" s="110"/>
      <c r="V3" s="110"/>
      <c r="W3" s="110"/>
      <c r="X3" s="110"/>
      <c r="Y3" s="110"/>
      <c r="Z3" s="110"/>
      <c r="AA3" s="111"/>
    </row>
    <row r="4" spans="1:27" x14ac:dyDescent="0.25">
      <c r="A4" s="4" t="s">
        <v>114</v>
      </c>
      <c r="B4" s="6">
        <v>4.54</v>
      </c>
      <c r="C4" s="110" t="s">
        <v>32</v>
      </c>
      <c r="D4" s="110"/>
      <c r="E4" s="110"/>
      <c r="F4" s="110"/>
      <c r="G4" s="110"/>
      <c r="H4" s="110"/>
      <c r="I4" s="110"/>
      <c r="J4" s="110"/>
      <c r="K4" s="110"/>
      <c r="L4" s="110"/>
      <c r="M4" s="111"/>
      <c r="O4" s="4" t="s">
        <v>38</v>
      </c>
      <c r="P4" s="6">
        <v>0.08</v>
      </c>
      <c r="Q4" s="110"/>
      <c r="R4" s="110"/>
      <c r="S4" s="110"/>
      <c r="T4" s="110"/>
      <c r="U4" s="110"/>
      <c r="V4" s="110"/>
      <c r="W4" s="110"/>
      <c r="X4" s="110"/>
      <c r="Y4" s="110"/>
      <c r="Z4" s="110"/>
      <c r="AA4" s="111"/>
    </row>
    <row r="5" spans="1:27" x14ac:dyDescent="0.25">
      <c r="A5" s="4" t="s">
        <v>115</v>
      </c>
      <c r="B5" s="6">
        <v>10.199999999999999</v>
      </c>
      <c r="C5" s="110" t="s">
        <v>33</v>
      </c>
      <c r="D5" s="110"/>
      <c r="E5" s="110"/>
      <c r="F5" s="110"/>
      <c r="G5" s="110"/>
      <c r="H5" s="110"/>
      <c r="I5" s="110"/>
      <c r="J5" s="110"/>
      <c r="K5" s="110"/>
      <c r="L5" s="110"/>
      <c r="M5" s="111"/>
      <c r="O5" s="4" t="s">
        <v>40</v>
      </c>
      <c r="P5" s="6">
        <v>0.1</v>
      </c>
      <c r="Q5" s="110"/>
      <c r="R5" s="110"/>
      <c r="S5" s="110"/>
      <c r="T5" s="110"/>
      <c r="U5" s="110"/>
      <c r="V5" s="110"/>
      <c r="W5" s="110"/>
      <c r="X5" s="110"/>
      <c r="Y5" s="110"/>
      <c r="Z5" s="110"/>
      <c r="AA5" s="111"/>
    </row>
    <row r="6" spans="1:27" x14ac:dyDescent="0.25">
      <c r="A6" s="4" t="s">
        <v>116</v>
      </c>
      <c r="B6" s="6">
        <v>7.5</v>
      </c>
      <c r="C6" s="110" t="s">
        <v>34</v>
      </c>
      <c r="D6" s="110"/>
      <c r="E6" s="110"/>
      <c r="F6" s="110"/>
      <c r="G6" s="110"/>
      <c r="H6" s="110"/>
      <c r="I6" s="110"/>
      <c r="J6" s="110"/>
      <c r="K6" s="110"/>
      <c r="L6" s="110"/>
      <c r="M6" s="111"/>
      <c r="O6" s="4" t="s">
        <v>103</v>
      </c>
      <c r="P6" s="6">
        <v>1.35</v>
      </c>
      <c r="Q6" s="110"/>
      <c r="R6" s="110"/>
      <c r="S6" s="110"/>
      <c r="T6" s="110"/>
      <c r="U6" s="110"/>
      <c r="V6" s="110"/>
      <c r="W6" s="110"/>
      <c r="X6" s="110"/>
      <c r="Y6" s="110"/>
      <c r="Z6" s="110"/>
      <c r="AA6" s="111"/>
    </row>
    <row r="7" spans="1:27" x14ac:dyDescent="0.25">
      <c r="A7" s="4" t="s">
        <v>117</v>
      </c>
      <c r="B7" s="6">
        <v>0.73</v>
      </c>
      <c r="C7" s="110" t="s">
        <v>23</v>
      </c>
      <c r="D7" s="110"/>
      <c r="E7" s="110"/>
      <c r="F7" s="110"/>
      <c r="G7" s="110"/>
      <c r="H7" s="110"/>
      <c r="I7" s="110"/>
      <c r="J7" s="110"/>
      <c r="K7" s="110"/>
      <c r="L7" s="110"/>
      <c r="M7" s="111"/>
      <c r="O7" s="4" t="s">
        <v>102</v>
      </c>
      <c r="P7" s="6">
        <v>0</v>
      </c>
      <c r="Q7" s="110"/>
      <c r="R7" s="110"/>
      <c r="S7" s="110"/>
      <c r="T7" s="110"/>
      <c r="U7" s="110"/>
      <c r="V7" s="110"/>
      <c r="W7" s="110"/>
      <c r="X7" s="110"/>
      <c r="Y7" s="110"/>
      <c r="Z7" s="110"/>
      <c r="AA7" s="111"/>
    </row>
    <row r="8" spans="1:27" x14ac:dyDescent="0.25">
      <c r="A8" s="4" t="s">
        <v>118</v>
      </c>
      <c r="B8" s="6">
        <v>0</v>
      </c>
      <c r="C8" s="110"/>
      <c r="D8" s="110"/>
      <c r="E8" s="110"/>
      <c r="F8" s="110"/>
      <c r="G8" s="110"/>
      <c r="H8" s="110"/>
      <c r="I8" s="110"/>
      <c r="J8" s="110"/>
      <c r="K8" s="110"/>
      <c r="L8" s="110"/>
      <c r="M8" s="111"/>
      <c r="O8" s="4" t="s">
        <v>104</v>
      </c>
      <c r="P8" s="6">
        <v>0</v>
      </c>
      <c r="Q8" s="110"/>
      <c r="R8" s="110"/>
      <c r="S8" s="110"/>
      <c r="T8" s="110"/>
      <c r="U8" s="110"/>
      <c r="V8" s="110"/>
      <c r="W8" s="110"/>
      <c r="X8" s="110"/>
      <c r="Y8" s="110"/>
      <c r="Z8" s="110"/>
      <c r="AA8" s="111"/>
    </row>
    <row r="9" spans="1:27" x14ac:dyDescent="0.25">
      <c r="A9" s="4" t="s">
        <v>119</v>
      </c>
      <c r="B9" s="6">
        <v>0.3</v>
      </c>
      <c r="C9" s="110" t="s">
        <v>25</v>
      </c>
      <c r="D9" s="110"/>
      <c r="E9" s="110"/>
      <c r="F9" s="110"/>
      <c r="G9" s="110"/>
      <c r="H9" s="110"/>
      <c r="I9" s="110"/>
      <c r="J9" s="110"/>
      <c r="K9" s="110"/>
      <c r="L9" s="110"/>
      <c r="M9" s="111"/>
      <c r="O9" s="4" t="s">
        <v>101</v>
      </c>
      <c r="P9" s="66">
        <v>112</v>
      </c>
      <c r="Q9" s="110" t="s">
        <v>135</v>
      </c>
      <c r="R9" s="110"/>
      <c r="S9" s="110"/>
      <c r="T9" s="110"/>
      <c r="U9" s="110"/>
      <c r="V9" s="110"/>
      <c r="W9" s="110"/>
      <c r="X9" s="110"/>
      <c r="Y9" s="110"/>
      <c r="Z9" s="110"/>
      <c r="AA9" s="111"/>
    </row>
    <row r="10" spans="1:27" x14ac:dyDescent="0.25">
      <c r="A10" s="4" t="s">
        <v>120</v>
      </c>
      <c r="B10" s="6">
        <v>0</v>
      </c>
      <c r="C10" s="110"/>
      <c r="D10" s="110"/>
      <c r="E10" s="110"/>
      <c r="F10" s="110"/>
      <c r="G10" s="110"/>
      <c r="H10" s="110"/>
      <c r="I10" s="110"/>
      <c r="J10" s="110"/>
      <c r="K10" s="110"/>
      <c r="L10" s="110"/>
      <c r="M10" s="111"/>
      <c r="O10" s="4" t="s">
        <v>136</v>
      </c>
      <c r="P10" s="6">
        <v>1.77</v>
      </c>
      <c r="Q10" s="110"/>
      <c r="R10" s="110"/>
      <c r="S10" s="110"/>
      <c r="T10" s="110"/>
      <c r="U10" s="110"/>
      <c r="V10" s="110"/>
      <c r="W10" s="110"/>
      <c r="X10" s="110"/>
      <c r="Y10" s="110"/>
      <c r="Z10" s="110"/>
      <c r="AA10" s="111"/>
    </row>
    <row r="11" spans="1:27" x14ac:dyDescent="0.25">
      <c r="A11" s="4" t="s">
        <v>121</v>
      </c>
      <c r="B11" s="6">
        <v>1</v>
      </c>
      <c r="C11" s="110" t="s">
        <v>71</v>
      </c>
      <c r="D11" s="110"/>
      <c r="E11" s="110"/>
      <c r="F11" s="110"/>
      <c r="G11" s="110"/>
      <c r="H11" s="110"/>
      <c r="I11" s="110"/>
      <c r="J11" s="110"/>
      <c r="K11" s="110"/>
      <c r="L11" s="110"/>
      <c r="M11" s="111"/>
      <c r="O11" s="4" t="s">
        <v>137</v>
      </c>
      <c r="P11" s="6">
        <v>0.17</v>
      </c>
      <c r="Q11" s="110" t="s">
        <v>138</v>
      </c>
      <c r="R11" s="110"/>
      <c r="S11" s="110"/>
      <c r="T11" s="110"/>
      <c r="U11" s="110"/>
      <c r="V11" s="110"/>
      <c r="W11" s="110"/>
      <c r="X11" s="110"/>
      <c r="Y11" s="110"/>
      <c r="Z11" s="110"/>
      <c r="AA11" s="111"/>
    </row>
    <row r="12" spans="1:27" x14ac:dyDescent="0.25">
      <c r="A12" s="4" t="s">
        <v>122</v>
      </c>
      <c r="B12" s="6">
        <v>0</v>
      </c>
      <c r="C12" s="110" t="s">
        <v>72</v>
      </c>
      <c r="D12" s="110"/>
      <c r="E12" s="110"/>
      <c r="F12" s="110"/>
      <c r="G12" s="110"/>
      <c r="H12" s="110"/>
      <c r="I12" s="110"/>
      <c r="J12" s="110"/>
      <c r="K12" s="110"/>
      <c r="L12" s="110"/>
      <c r="M12" s="111"/>
    </row>
    <row r="13" spans="1:27" x14ac:dyDescent="0.25">
      <c r="A13" s="4" t="s">
        <v>105</v>
      </c>
      <c r="B13" s="6">
        <v>4.95</v>
      </c>
      <c r="C13" s="110"/>
      <c r="D13" s="110"/>
      <c r="E13" s="110"/>
      <c r="F13" s="110"/>
      <c r="G13" s="110"/>
      <c r="H13" s="110"/>
      <c r="I13" s="110"/>
      <c r="J13" s="110"/>
      <c r="K13" s="110"/>
      <c r="L13" s="110"/>
      <c r="M13" s="111"/>
    </row>
    <row r="14" spans="1:27" ht="15.75" thickBot="1" x14ac:dyDescent="0.3">
      <c r="A14" s="4" t="s">
        <v>106</v>
      </c>
      <c r="B14" s="6">
        <v>1.29</v>
      </c>
      <c r="C14" s="110"/>
      <c r="D14" s="110"/>
      <c r="E14" s="110"/>
      <c r="F14" s="110"/>
      <c r="G14" s="110"/>
      <c r="H14" s="110"/>
      <c r="I14" s="110"/>
      <c r="J14" s="110"/>
      <c r="K14" s="110"/>
      <c r="L14" s="110"/>
      <c r="M14" s="111"/>
    </row>
    <row r="15" spans="1:27" ht="19.5" thickBot="1" x14ac:dyDescent="0.35">
      <c r="A15" s="4" t="s">
        <v>107</v>
      </c>
      <c r="B15" s="6">
        <v>0</v>
      </c>
      <c r="C15" s="110"/>
      <c r="D15" s="110"/>
      <c r="E15" s="110"/>
      <c r="F15" s="110"/>
      <c r="G15" s="110"/>
      <c r="H15" s="110"/>
      <c r="I15" s="110"/>
      <c r="J15" s="110"/>
      <c r="K15" s="110"/>
      <c r="L15" s="110"/>
      <c r="M15" s="111"/>
      <c r="O15" s="10" t="s">
        <v>29</v>
      </c>
      <c r="P15" s="12" t="s">
        <v>27</v>
      </c>
      <c r="Q15" s="105" t="s">
        <v>28</v>
      </c>
      <c r="R15" s="106"/>
      <c r="S15" s="106"/>
      <c r="T15" s="106"/>
      <c r="U15" s="106"/>
      <c r="V15" s="106"/>
      <c r="W15" s="106"/>
      <c r="X15" s="106"/>
      <c r="Y15" s="106"/>
      <c r="Z15" s="106"/>
      <c r="AA15" s="107"/>
    </row>
    <row r="16" spans="1:27" x14ac:dyDescent="0.25">
      <c r="A16" s="4" t="s">
        <v>108</v>
      </c>
      <c r="B16" s="6">
        <v>5.46</v>
      </c>
      <c r="C16" s="110"/>
      <c r="D16" s="110"/>
      <c r="E16" s="110"/>
      <c r="F16" s="110"/>
      <c r="G16" s="110"/>
      <c r="H16" s="110"/>
      <c r="I16" s="110"/>
      <c r="J16" s="110"/>
      <c r="K16" s="110"/>
      <c r="L16" s="110"/>
      <c r="M16" s="111"/>
      <c r="O16" s="64" t="s">
        <v>123</v>
      </c>
      <c r="P16" s="6">
        <v>6</v>
      </c>
      <c r="Q16" s="110" t="s">
        <v>139</v>
      </c>
      <c r="R16" s="110"/>
      <c r="S16" s="110"/>
      <c r="T16" s="110"/>
      <c r="U16" s="110"/>
      <c r="V16" s="110"/>
      <c r="W16" s="110"/>
      <c r="X16" s="110"/>
      <c r="Y16" s="110"/>
      <c r="Z16" s="110"/>
      <c r="AA16" s="110"/>
    </row>
    <row r="17" spans="1:27" x14ac:dyDescent="0.25">
      <c r="A17" s="4" t="s">
        <v>109</v>
      </c>
      <c r="B17" s="6">
        <f>7.12-5.46</f>
        <v>1.6600000000000001</v>
      </c>
      <c r="C17" s="110"/>
      <c r="D17" s="110"/>
      <c r="E17" s="110"/>
      <c r="F17" s="110"/>
      <c r="G17" s="110"/>
      <c r="H17" s="110"/>
      <c r="I17" s="110"/>
      <c r="J17" s="110"/>
      <c r="K17" s="110"/>
      <c r="L17" s="110"/>
      <c r="M17" s="111"/>
      <c r="O17" s="64" t="s">
        <v>124</v>
      </c>
      <c r="P17" s="6">
        <v>0.38</v>
      </c>
      <c r="Q17" s="110"/>
      <c r="R17" s="110"/>
      <c r="S17" s="110"/>
      <c r="T17" s="110"/>
      <c r="U17" s="110"/>
      <c r="V17" s="110"/>
      <c r="W17" s="110"/>
      <c r="X17" s="110"/>
      <c r="Y17" s="110"/>
      <c r="Z17" s="110"/>
      <c r="AA17" s="110"/>
    </row>
    <row r="18" spans="1:27" x14ac:dyDescent="0.25">
      <c r="A18" s="4" t="s">
        <v>110</v>
      </c>
      <c r="B18" s="6">
        <f>8.69-7.12</f>
        <v>1.5699999999999994</v>
      </c>
      <c r="C18" s="110"/>
      <c r="D18" s="110"/>
      <c r="E18" s="110"/>
      <c r="F18" s="110"/>
      <c r="G18" s="110"/>
      <c r="H18" s="110"/>
      <c r="I18" s="110"/>
      <c r="J18" s="110"/>
      <c r="K18" s="110"/>
      <c r="L18" s="110"/>
      <c r="M18" s="111"/>
      <c r="O18" s="64" t="s">
        <v>125</v>
      </c>
      <c r="P18" s="6">
        <v>0.15</v>
      </c>
      <c r="Q18" s="110"/>
      <c r="R18" s="110"/>
      <c r="S18" s="110"/>
      <c r="T18" s="110"/>
      <c r="U18" s="110"/>
      <c r="V18" s="110"/>
      <c r="W18" s="110"/>
      <c r="X18" s="110"/>
      <c r="Y18" s="110"/>
      <c r="Z18" s="110"/>
      <c r="AA18" s="110"/>
    </row>
    <row r="19" spans="1:27" x14ac:dyDescent="0.25">
      <c r="A19" s="4" t="s">
        <v>111</v>
      </c>
      <c r="B19" s="6">
        <v>0.2</v>
      </c>
      <c r="C19" s="110" t="s">
        <v>145</v>
      </c>
      <c r="D19" s="110"/>
      <c r="E19" s="110"/>
      <c r="F19" s="110"/>
      <c r="G19" s="110"/>
      <c r="H19" s="110"/>
      <c r="I19" s="110"/>
      <c r="J19" s="110"/>
      <c r="K19" s="110"/>
      <c r="L19" s="110"/>
      <c r="M19" s="111"/>
      <c r="O19" s="64" t="s">
        <v>126</v>
      </c>
      <c r="P19" s="6">
        <v>1.2</v>
      </c>
      <c r="Q19" s="110"/>
      <c r="R19" s="110"/>
      <c r="S19" s="110"/>
      <c r="T19" s="110"/>
      <c r="U19" s="110"/>
      <c r="V19" s="110"/>
      <c r="W19" s="110"/>
      <c r="X19" s="110"/>
      <c r="Y19" s="110"/>
      <c r="Z19" s="110"/>
      <c r="AA19" s="110"/>
    </row>
    <row r="20" spans="1:27" x14ac:dyDescent="0.25">
      <c r="A20" s="4" t="s">
        <v>112</v>
      </c>
      <c r="B20" s="6">
        <v>0.2</v>
      </c>
      <c r="C20" s="110"/>
      <c r="D20" s="110"/>
      <c r="E20" s="110"/>
      <c r="F20" s="110"/>
      <c r="G20" s="110"/>
      <c r="H20" s="110"/>
      <c r="I20" s="110"/>
      <c r="J20" s="110"/>
      <c r="K20" s="110"/>
      <c r="L20" s="110"/>
      <c r="M20" s="111"/>
      <c r="O20" s="64" t="s">
        <v>131</v>
      </c>
      <c r="P20" s="6">
        <v>1.1000000000000001</v>
      </c>
      <c r="Q20" s="110"/>
      <c r="R20" s="110"/>
      <c r="S20" s="110"/>
      <c r="T20" s="110"/>
      <c r="U20" s="110"/>
      <c r="V20" s="110"/>
      <c r="W20" s="110"/>
      <c r="X20" s="110"/>
      <c r="Y20" s="110"/>
      <c r="Z20" s="110"/>
      <c r="AA20" s="110"/>
    </row>
    <row r="21" spans="1:27" x14ac:dyDescent="0.25">
      <c r="A21" s="3" t="s">
        <v>154</v>
      </c>
      <c r="B21" s="11">
        <v>3</v>
      </c>
      <c r="C21" s="108" t="s">
        <v>148</v>
      </c>
      <c r="D21" s="108"/>
      <c r="E21" s="108"/>
      <c r="F21" s="108"/>
      <c r="G21" s="108"/>
      <c r="H21" s="108"/>
      <c r="I21" s="108"/>
      <c r="J21" s="108"/>
      <c r="K21" s="108"/>
      <c r="L21" s="108"/>
      <c r="M21" s="109"/>
      <c r="O21" s="64" t="s">
        <v>132</v>
      </c>
      <c r="P21" s="6">
        <v>0.5</v>
      </c>
      <c r="Q21" s="110"/>
      <c r="R21" s="110"/>
      <c r="S21" s="110"/>
      <c r="T21" s="110"/>
      <c r="U21" s="110"/>
      <c r="V21" s="110"/>
      <c r="W21" s="110"/>
      <c r="X21" s="110"/>
      <c r="Y21" s="110"/>
      <c r="Z21" s="110"/>
      <c r="AA21" s="110"/>
    </row>
    <row r="22" spans="1:27" x14ac:dyDescent="0.25">
      <c r="O22" s="64" t="s">
        <v>127</v>
      </c>
      <c r="P22" s="6">
        <v>1.9</v>
      </c>
      <c r="Q22" s="110"/>
      <c r="R22" s="110"/>
      <c r="S22" s="110"/>
      <c r="T22" s="110"/>
      <c r="U22" s="110"/>
      <c r="V22" s="110"/>
      <c r="W22" s="110"/>
      <c r="X22" s="110"/>
      <c r="Y22" s="110"/>
      <c r="Z22" s="110"/>
      <c r="AA22" s="110"/>
    </row>
    <row r="23" spans="1:27" x14ac:dyDescent="0.25">
      <c r="O23" s="64" t="s">
        <v>128</v>
      </c>
      <c r="P23" s="6">
        <f>2.37-1.9</f>
        <v>0.4700000000000002</v>
      </c>
      <c r="Q23" s="110" t="s">
        <v>133</v>
      </c>
      <c r="R23" s="110"/>
      <c r="S23" s="110"/>
      <c r="T23" s="110"/>
      <c r="U23" s="110"/>
      <c r="V23" s="110"/>
      <c r="W23" s="110"/>
      <c r="X23" s="110"/>
      <c r="Y23" s="110"/>
      <c r="Z23" s="110"/>
      <c r="AA23" s="110"/>
    </row>
    <row r="24" spans="1:27" x14ac:dyDescent="0.25">
      <c r="A24" s="4" t="s">
        <v>5</v>
      </c>
      <c r="B24" s="6">
        <v>0.8</v>
      </c>
      <c r="C24" s="110"/>
      <c r="D24" s="110"/>
      <c r="E24" s="110"/>
      <c r="F24" s="110"/>
      <c r="G24" s="110"/>
      <c r="H24" s="110"/>
      <c r="I24" s="110"/>
      <c r="J24" s="110"/>
      <c r="K24" s="110"/>
      <c r="L24" s="110"/>
      <c r="M24" s="111"/>
      <c r="O24" s="64" t="s">
        <v>129</v>
      </c>
      <c r="P24" s="6">
        <f>3.48-2.37</f>
        <v>1.1099999999999999</v>
      </c>
      <c r="Q24" s="110" t="s">
        <v>134</v>
      </c>
      <c r="R24" s="110"/>
      <c r="S24" s="110"/>
      <c r="T24" s="110"/>
      <c r="U24" s="110"/>
      <c r="V24" s="110"/>
      <c r="W24" s="110"/>
      <c r="X24" s="110"/>
      <c r="Y24" s="110"/>
      <c r="Z24" s="110"/>
      <c r="AA24" s="110"/>
    </row>
    <row r="25" spans="1:27" ht="15.75" thickBot="1" x14ac:dyDescent="0.3">
      <c r="A25" s="4" t="s">
        <v>6</v>
      </c>
      <c r="B25" s="6">
        <v>0.1</v>
      </c>
      <c r="C25" s="110"/>
      <c r="D25" s="110"/>
      <c r="E25" s="110"/>
      <c r="F25" s="110"/>
      <c r="G25" s="110"/>
      <c r="H25" s="110"/>
      <c r="I25" s="110"/>
      <c r="J25" s="110"/>
      <c r="K25" s="110"/>
      <c r="L25" s="110"/>
      <c r="M25" s="111"/>
      <c r="O25" s="63" t="s">
        <v>130</v>
      </c>
      <c r="P25" s="65">
        <v>17</v>
      </c>
      <c r="Q25" s="114" t="s">
        <v>135</v>
      </c>
      <c r="R25" s="115"/>
      <c r="S25" s="115"/>
      <c r="T25" s="115"/>
      <c r="U25" s="115"/>
      <c r="V25" s="115"/>
      <c r="W25" s="115"/>
      <c r="X25" s="115"/>
      <c r="Y25" s="115"/>
      <c r="Z25" s="115"/>
      <c r="AA25" s="116"/>
    </row>
    <row r="26" spans="1:27" x14ac:dyDescent="0.25">
      <c r="A26" s="4" t="s">
        <v>8</v>
      </c>
      <c r="B26" s="6">
        <v>42.14</v>
      </c>
      <c r="C26" s="120" t="s">
        <v>9</v>
      </c>
      <c r="D26" s="120"/>
      <c r="E26" s="120"/>
      <c r="F26" s="120"/>
      <c r="G26" s="120"/>
      <c r="H26" s="120"/>
      <c r="I26" s="120"/>
      <c r="J26" s="120"/>
      <c r="K26" s="120"/>
      <c r="L26" s="120"/>
      <c r="M26" s="121"/>
    </row>
    <row r="27" spans="1:27" x14ac:dyDescent="0.25">
      <c r="A27" s="4" t="s">
        <v>13</v>
      </c>
      <c r="B27" s="6">
        <v>60</v>
      </c>
      <c r="C27" s="110"/>
      <c r="D27" s="110"/>
      <c r="E27" s="110"/>
      <c r="F27" s="110"/>
      <c r="G27" s="110"/>
      <c r="H27" s="110"/>
      <c r="I27" s="110"/>
      <c r="J27" s="110"/>
      <c r="K27" s="110"/>
      <c r="L27" s="110"/>
      <c r="M27" s="111"/>
    </row>
    <row r="28" spans="1:27" x14ac:dyDescent="0.25">
      <c r="A28" s="4" t="s">
        <v>144</v>
      </c>
      <c r="B28" s="6">
        <v>1</v>
      </c>
      <c r="C28" s="110"/>
      <c r="D28" s="110"/>
      <c r="E28" s="110"/>
      <c r="F28" s="110"/>
      <c r="G28" s="110"/>
      <c r="H28" s="110"/>
      <c r="I28" s="110"/>
      <c r="J28" s="110"/>
      <c r="K28" s="110"/>
      <c r="L28" s="110"/>
      <c r="M28" s="111"/>
    </row>
    <row r="29" spans="1:27" x14ac:dyDescent="0.25">
      <c r="A29" s="20" t="s">
        <v>44</v>
      </c>
      <c r="B29" s="19">
        <v>0.2</v>
      </c>
      <c r="C29" s="110"/>
      <c r="D29" s="110"/>
      <c r="E29" s="110"/>
      <c r="F29" s="110"/>
      <c r="G29" s="110"/>
      <c r="H29" s="110"/>
      <c r="I29" s="110"/>
      <c r="J29" s="110"/>
      <c r="K29" s="110"/>
      <c r="L29" s="110"/>
      <c r="M29" s="111"/>
    </row>
    <row r="30" spans="1:27" x14ac:dyDescent="0.25">
      <c r="A30" s="4" t="s">
        <v>143</v>
      </c>
      <c r="B30" s="6">
        <v>4</v>
      </c>
      <c r="C30" s="110"/>
      <c r="D30" s="110"/>
      <c r="E30" s="110"/>
      <c r="F30" s="110"/>
      <c r="G30" s="110"/>
      <c r="H30" s="110"/>
      <c r="I30" s="110"/>
      <c r="J30" s="110"/>
      <c r="K30" s="110"/>
      <c r="L30" s="110"/>
      <c r="M30" s="111"/>
    </row>
    <row r="34" spans="1:24" ht="15.75" thickBot="1" x14ac:dyDescent="0.3">
      <c r="C34" s="117"/>
      <c r="D34" s="117"/>
      <c r="E34" s="117"/>
      <c r="F34" s="117"/>
      <c r="G34" s="117"/>
      <c r="H34" s="117"/>
      <c r="I34" s="117"/>
      <c r="J34" s="117"/>
      <c r="K34" s="117"/>
      <c r="L34" s="117"/>
      <c r="M34" s="117"/>
    </row>
    <row r="35" spans="1:24" ht="19.5" thickBot="1" x14ac:dyDescent="0.35">
      <c r="A35" s="2" t="s">
        <v>7</v>
      </c>
      <c r="B35" s="14"/>
      <c r="C35" s="118"/>
      <c r="D35" s="118"/>
      <c r="E35" s="118"/>
      <c r="F35" s="118"/>
      <c r="G35" s="118"/>
      <c r="H35" s="118"/>
      <c r="I35" s="118"/>
      <c r="J35" s="118"/>
      <c r="K35" s="118"/>
      <c r="L35" s="118"/>
      <c r="M35" s="119"/>
    </row>
    <row r="36" spans="1:24" x14ac:dyDescent="0.25">
      <c r="A36" s="3" t="s">
        <v>4</v>
      </c>
      <c r="B36" s="60">
        <f>' Sizing Tool'!C15*100*B24/100</f>
        <v>3.2</v>
      </c>
      <c r="C36" s="108" t="s">
        <v>31</v>
      </c>
      <c r="D36" s="108"/>
      <c r="E36" s="108"/>
      <c r="F36" s="108"/>
      <c r="G36" s="108"/>
      <c r="H36" s="108"/>
      <c r="I36" s="108"/>
      <c r="J36" s="108"/>
      <c r="K36" s="108"/>
      <c r="L36" s="108"/>
      <c r="M36" s="109"/>
    </row>
    <row r="37" spans="1:24" x14ac:dyDescent="0.25">
      <c r="A37" s="4" t="s">
        <v>3</v>
      </c>
      <c r="B37" s="61">
        <f>200*B24/100</f>
        <v>1.6</v>
      </c>
      <c r="C37" s="110" t="s">
        <v>30</v>
      </c>
      <c r="D37" s="110"/>
      <c r="E37" s="110"/>
      <c r="F37" s="110"/>
      <c r="G37" s="110"/>
      <c r="H37" s="110"/>
      <c r="I37" s="110"/>
      <c r="J37" s="110"/>
      <c r="K37" s="110"/>
      <c r="L37" s="110"/>
      <c r="M37" s="111"/>
    </row>
    <row r="38" spans="1:24" x14ac:dyDescent="0.25">
      <c r="A38" s="4" t="s">
        <v>10</v>
      </c>
      <c r="B38" s="9">
        <f>$B$26/' Sizing Tool'!$C$16</f>
        <v>1.0033333333333334</v>
      </c>
      <c r="C38" s="110"/>
      <c r="D38" s="110"/>
      <c r="E38" s="110"/>
      <c r="F38" s="110"/>
      <c r="G38" s="110"/>
      <c r="H38" s="110"/>
      <c r="I38" s="110"/>
      <c r="J38" s="110"/>
      <c r="K38" s="110"/>
      <c r="L38" s="110"/>
      <c r="M38" s="111"/>
    </row>
    <row r="39" spans="1:24" x14ac:dyDescent="0.25">
      <c r="A39" s="4" t="s">
        <v>11</v>
      </c>
      <c r="B39" s="9">
        <f>IF(B38&gt;1,B38,IF(B38&lt;0.75,0.75,1-(1-B38)*0.5))</f>
        <v>1.0033333333333334</v>
      </c>
      <c r="C39" s="110"/>
      <c r="D39" s="110"/>
      <c r="E39" s="110"/>
      <c r="F39" s="110"/>
      <c r="G39" s="110"/>
      <c r="H39" s="110"/>
      <c r="I39" s="110"/>
      <c r="J39" s="110"/>
      <c r="K39" s="110"/>
      <c r="L39" s="110"/>
      <c r="M39" s="111"/>
    </row>
    <row r="40" spans="1:24" x14ac:dyDescent="0.25">
      <c r="A40" s="15" t="s">
        <v>19</v>
      </c>
      <c r="B40" s="15">
        <f>' Sizing Tool'!C5*(3*B29+1-B29)</f>
        <v>2.8000000000000003</v>
      </c>
      <c r="C40" s="110" t="s">
        <v>20</v>
      </c>
      <c r="D40" s="110"/>
      <c r="E40" s="110"/>
      <c r="F40" s="110"/>
      <c r="G40" s="110"/>
      <c r="H40" s="110"/>
      <c r="I40" s="110"/>
      <c r="J40" s="110"/>
      <c r="K40" s="110"/>
      <c r="L40" s="110"/>
      <c r="M40" s="111"/>
    </row>
    <row r="41" spans="1:24" x14ac:dyDescent="0.25">
      <c r="A41" s="4" t="s">
        <v>14</v>
      </c>
      <c r="B41" s="9">
        <f>' Sizing Tool'!C4/B27</f>
        <v>25</v>
      </c>
      <c r="C41" s="110" t="s">
        <v>26</v>
      </c>
      <c r="D41" s="110"/>
      <c r="E41" s="110"/>
      <c r="F41" s="110"/>
      <c r="G41" s="110"/>
      <c r="H41" s="110"/>
      <c r="I41" s="110"/>
      <c r="J41" s="110"/>
      <c r="K41" s="110"/>
      <c r="L41" s="110"/>
      <c r="M41" s="111"/>
    </row>
    <row r="42" spans="1:24" x14ac:dyDescent="0.25">
      <c r="A42" s="4" t="s">
        <v>15</v>
      </c>
      <c r="B42" s="9">
        <f>B40*B28</f>
        <v>2.8000000000000003</v>
      </c>
      <c r="C42" s="110"/>
      <c r="D42" s="110"/>
      <c r="E42" s="110"/>
      <c r="F42" s="110"/>
      <c r="G42" s="110"/>
      <c r="H42" s="110"/>
      <c r="I42" s="110"/>
      <c r="J42" s="110"/>
      <c r="K42" s="110"/>
      <c r="L42" s="110"/>
      <c r="M42" s="111"/>
    </row>
    <row r="43" spans="1:24" ht="15.75" thickBot="1" x14ac:dyDescent="0.3">
      <c r="A43" s="5" t="s">
        <v>18</v>
      </c>
      <c r="B43" s="13">
        <f>B40*B30</f>
        <v>11.200000000000001</v>
      </c>
      <c r="C43" s="112" t="s">
        <v>21</v>
      </c>
      <c r="D43" s="112"/>
      <c r="E43" s="112"/>
      <c r="F43" s="112"/>
      <c r="G43" s="112"/>
      <c r="H43" s="112"/>
      <c r="I43" s="112"/>
      <c r="J43" s="112"/>
      <c r="K43" s="112"/>
      <c r="L43" s="112"/>
      <c r="M43" s="113"/>
    </row>
    <row r="44" spans="1:24" x14ac:dyDescent="0.25">
      <c r="B44" s="7"/>
    </row>
    <row r="45" spans="1:24" ht="15.75" thickBot="1" x14ac:dyDescent="0.3">
      <c r="B45" s="7"/>
    </row>
    <row r="46" spans="1:24" ht="15.75" thickBot="1" x14ac:dyDescent="0.3">
      <c r="A46" s="24" t="s">
        <v>12</v>
      </c>
      <c r="B46" s="86" t="s">
        <v>153</v>
      </c>
      <c r="C46" s="25" t="s">
        <v>16</v>
      </c>
      <c r="D46" s="26" t="s">
        <v>1</v>
      </c>
      <c r="E46" s="25" t="s">
        <v>17</v>
      </c>
      <c r="F46" s="26" t="s">
        <v>70</v>
      </c>
      <c r="G46" s="25" t="s">
        <v>22</v>
      </c>
      <c r="H46" s="26" t="s">
        <v>24</v>
      </c>
      <c r="I46" s="25" t="s">
        <v>94</v>
      </c>
      <c r="J46" s="26" t="s">
        <v>95</v>
      </c>
      <c r="K46" s="25" t="s">
        <v>96</v>
      </c>
      <c r="L46" s="26" t="s">
        <v>97</v>
      </c>
      <c r="M46" s="27" t="s">
        <v>2</v>
      </c>
      <c r="N46" s="8"/>
      <c r="Q46" s="17" t="s">
        <v>43</v>
      </c>
      <c r="R46" s="25" t="s">
        <v>35</v>
      </c>
      <c r="S46" s="26" t="s">
        <v>1</v>
      </c>
      <c r="T46" s="25" t="s">
        <v>41</v>
      </c>
      <c r="U46" s="26" t="s">
        <v>42</v>
      </c>
      <c r="V46" s="31" t="s">
        <v>99</v>
      </c>
      <c r="W46" s="26" t="s">
        <v>100</v>
      </c>
      <c r="X46" s="31" t="s">
        <v>2</v>
      </c>
    </row>
    <row r="47" spans="1:24" x14ac:dyDescent="0.25">
      <c r="A47" s="3">
        <v>2</v>
      </c>
      <c r="B47" s="87">
        <f>ROUNDUP(IF(' Sizing Tool'!$C$4/(A47*(A47-1)*' Sizing Tool'!$C$14) &gt; $B$2, $B$2, IF(' Sizing Tool'!$C$4/(A47*(A47-1)*' Sizing Tool'!$C$14) &lt; $B$21, $B$21, ' Sizing Tool'!$C$4/(A47*(A47-1)*' Sizing Tool'!$C$14))), 1)</f>
        <v>30</v>
      </c>
      <c r="C47" s="16">
        <f>ROUNDDOWN((' Sizing Tool'!$C$4/(B47*A47*(A47-1))),0)</f>
        <v>25</v>
      </c>
      <c r="D47" s="28">
        <f t="shared" ref="D47:D61" si="0">(($B$3*($B$40/(A47-1)) + $B$4)*(1+$B$25))*$B$39/100</f>
        <v>0.12736313333333338</v>
      </c>
      <c r="E47" s="29">
        <f>($B$5*(' Sizing Tool'!$C$4/(A47*(A47-1)*IF(C47&gt;5,C47,5)))+$B$6)*$B$39/100</f>
        <v>3.1454500000000003</v>
      </c>
      <c r="F47" s="28">
        <f t="shared" ref="F47:F61" si="1">(($B$11*$B$42+$B$12)*(1+$B$25)*$B$39)/(A47-1)/100</f>
        <v>3.0902666666666675E-2</v>
      </c>
      <c r="G47" s="29">
        <f t="shared" ref="G47:G61" si="2">(($B$7*$B$43+$B$8)*(1+$B$25)*$B$39)/(A47-1)/100</f>
        <v>9.0235786666666679E-2</v>
      </c>
      <c r="H47" s="28">
        <f t="shared" ref="H47:H61" si="3">(($B$9*$B$43+$B$10)*(1+$B$25)*$B$39)/(A47-1)/100</f>
        <v>3.7083200000000011E-2</v>
      </c>
      <c r="I47" s="29">
        <f>($B$16*' Sizing Tool'!$C$10 * (1+$B$19 * ' Sizing Tool'!$C$13))/(A47-1)/100</f>
        <v>0</v>
      </c>
      <c r="J47" s="28">
        <f>($B$17*' Sizing Tool'!$C$11)/(A47-1)/100</f>
        <v>0</v>
      </c>
      <c r="K47" s="29">
        <f>($B$18*' Sizing Tool'!$C$12)/(A47-1)/100</f>
        <v>0</v>
      </c>
      <c r="L47" s="28">
        <f>('Calculations-Hidden'!$B$13*' Sizing Tool'!$C$7+'Calculations-Hidden'!$B$14*' Sizing Tool'!$C$9*' Sizing Tool'!$C$7)/(A47-1)/100</f>
        <v>0</v>
      </c>
      <c r="M47" s="30">
        <f>SUM(D47:L47)</f>
        <v>3.4310347866666673</v>
      </c>
      <c r="Q47" s="3">
        <v>2</v>
      </c>
      <c r="R47" s="29">
        <f>$P$2*' Sizing Tool'!$C$4/(Q47-1)/100 + IF((' Sizing Tool'!$C$10+' Sizing Tool'!$C$11+' Sizing Tool'!$C$7) &gt; 0,'Calculations-Hidden'!$P$9)/(Q47-1)/100</f>
        <v>0.2475</v>
      </c>
      <c r="S47" s="28">
        <f>$P$3*$B$40/(Q47-1)/100</f>
        <v>1.3440000000000001E-2</v>
      </c>
      <c r="T47" s="29">
        <f>$P$4*$B$43/(Q47-1)/100</f>
        <v>8.9600000000000009E-3</v>
      </c>
      <c r="U47" s="28">
        <f>$P$5*$B$40/(Q47-1)/100</f>
        <v>2.8000000000000004E-3</v>
      </c>
      <c r="V47" s="32">
        <f>$P$6*' Sizing Tool'!$C$10/(Q47-1)/100</f>
        <v>0</v>
      </c>
      <c r="W47" s="28">
        <f>$P$10*' Sizing Tool'!$C$7/(Q47-1)/100</f>
        <v>0</v>
      </c>
      <c r="X47" s="32">
        <f>SUM(R47:W47)</f>
        <v>0.27270000000000005</v>
      </c>
    </row>
    <row r="48" spans="1:24" x14ac:dyDescent="0.25">
      <c r="A48" s="4">
        <v>3</v>
      </c>
      <c r="B48" s="87">
        <f>ROUNDUP(IF(' Sizing Tool'!$C$4/(A48*(A48-1)*' Sizing Tool'!$C$14) &gt; $B$2, $B$2, IF(' Sizing Tool'!$C$4/(A48*(A48-1)*' Sizing Tool'!$C$14) &lt; $B$21, $B$21, ' Sizing Tool'!$C$4/(A48*(A48-1)*' Sizing Tool'!$C$14))), 1)</f>
        <v>25</v>
      </c>
      <c r="C48" s="16">
        <f>ROUNDDOWN((' Sizing Tool'!$C$4/(B48*A48*(A48-1))),0)</f>
        <v>10</v>
      </c>
      <c r="D48" s="28">
        <f t="shared" si="0"/>
        <v>8.873480000000003E-2</v>
      </c>
      <c r="E48" s="29">
        <f>($B$5*(' Sizing Tool'!$C$4/(A48*(A48-1)*IF(C48&gt;5,C48,5)))+$B$6)*$B$39/100</f>
        <v>2.63375</v>
      </c>
      <c r="F48" s="28">
        <f t="shared" si="1"/>
        <v>1.5451333333333338E-2</v>
      </c>
      <c r="G48" s="29">
        <f t="shared" si="2"/>
        <v>4.5117893333333339E-2</v>
      </c>
      <c r="H48" s="28">
        <f t="shared" si="3"/>
        <v>1.8541600000000005E-2</v>
      </c>
      <c r="I48" s="29">
        <f>($B$16*' Sizing Tool'!$C$10 * (1+$B$19 * ' Sizing Tool'!$C$13))/(A48-1)/100</f>
        <v>0</v>
      </c>
      <c r="J48" s="28">
        <f>($B$17*' Sizing Tool'!$C$11)/(A48-1)/100</f>
        <v>0</v>
      </c>
      <c r="K48" s="29">
        <f>($B$18*' Sizing Tool'!$C$12)/(A48-1)/100</f>
        <v>0</v>
      </c>
      <c r="L48" s="28">
        <f>('Calculations-Hidden'!$B$13*' Sizing Tool'!$C$7+'Calculations-Hidden'!$B$14*' Sizing Tool'!$C$9*' Sizing Tool'!$C$7)/(A48-1)/100</f>
        <v>0</v>
      </c>
      <c r="M48" s="30">
        <f t="shared" ref="M48:M61" si="4">SUM(D48:L48)</f>
        <v>2.8015956266666668</v>
      </c>
      <c r="Q48" s="4">
        <v>3</v>
      </c>
      <c r="R48" s="29">
        <f>$P$2*' Sizing Tool'!$C$4/(Q48-1)/100 + IF((' Sizing Tool'!$C$10+' Sizing Tool'!$C$11+' Sizing Tool'!$C$7) &gt; 0,'Calculations-Hidden'!$P$9)/(Q48-1)/100</f>
        <v>0.12375</v>
      </c>
      <c r="S48" s="28">
        <f>$P$3*$B$40/(Q48-1)/100</f>
        <v>6.7200000000000003E-3</v>
      </c>
      <c r="T48" s="29">
        <f>$P$4*$B$43/(Q48-1)/100</f>
        <v>4.4800000000000005E-3</v>
      </c>
      <c r="U48" s="28">
        <f t="shared" ref="U48:U50" si="5">$P$5*$B$40/(Q48-1)/100</f>
        <v>1.4000000000000002E-3</v>
      </c>
      <c r="V48" s="32">
        <f>$P$6*' Sizing Tool'!$C$10/(Q48-1)/100</f>
        <v>0</v>
      </c>
      <c r="W48" s="28">
        <f>$P$10*' Sizing Tool'!$C$7/(Q48-1)/100</f>
        <v>0</v>
      </c>
      <c r="X48" s="32">
        <f t="shared" ref="X48:X50" si="6">SUM(R48:W48)</f>
        <v>0.13635000000000003</v>
      </c>
    </row>
    <row r="49" spans="1:24" x14ac:dyDescent="0.25">
      <c r="A49" s="4">
        <v>4</v>
      </c>
      <c r="B49" s="87">
        <f>ROUNDUP(IF(' Sizing Tool'!$C$4/(A49*(A49-1)*' Sizing Tool'!$C$14) &gt; $B$2, $B$2, IF(' Sizing Tool'!$C$4/(A49*(A49-1)*' Sizing Tool'!$C$14) &lt; $B$21, $B$21, ' Sizing Tool'!$C$4/(A49*(A49-1)*' Sizing Tool'!$C$14))), 1)</f>
        <v>12.5</v>
      </c>
      <c r="C49" s="16">
        <f>ROUNDDOWN((' Sizing Tool'!$C$4/(B49*A49*(A49-1))),0)</f>
        <v>10</v>
      </c>
      <c r="D49" s="28">
        <f t="shared" si="0"/>
        <v>7.58586888888889E-2</v>
      </c>
      <c r="E49" s="29">
        <f>($B$5*(' Sizing Tool'!$C$4/(A49*(A49-1)*IF(C49&gt;5,C49,5)))+$B$6)*$B$39/100</f>
        <v>1.3545000000000003</v>
      </c>
      <c r="F49" s="28">
        <f t="shared" si="1"/>
        <v>1.0300888888888891E-2</v>
      </c>
      <c r="G49" s="29">
        <f t="shared" si="2"/>
        <v>3.0078595555555556E-2</v>
      </c>
      <c r="H49" s="28">
        <f t="shared" si="3"/>
        <v>1.2361066666666668E-2</v>
      </c>
      <c r="I49" s="29">
        <f>($B$16*' Sizing Tool'!$C$10 * (1+$B$19 * ' Sizing Tool'!$C$13))/(A49-1)/100</f>
        <v>0</v>
      </c>
      <c r="J49" s="28">
        <f>($B$17*' Sizing Tool'!$C$11)/(A49-1)/100</f>
        <v>0</v>
      </c>
      <c r="K49" s="29">
        <f>($B$18*' Sizing Tool'!$C$12)/(A49-1)/100</f>
        <v>0</v>
      </c>
      <c r="L49" s="28">
        <f>('Calculations-Hidden'!$B$13*' Sizing Tool'!$C$7+'Calculations-Hidden'!$B$14*' Sizing Tool'!$C$9*' Sizing Tool'!$C$7)/(A49-1)/100</f>
        <v>0</v>
      </c>
      <c r="M49" s="30">
        <f t="shared" si="4"/>
        <v>1.4830992400000003</v>
      </c>
      <c r="Q49" s="4">
        <v>4</v>
      </c>
      <c r="R49" s="29">
        <f>$P$2*' Sizing Tool'!$C$4/(Q49-1)/100 + IF((' Sizing Tool'!$C$10+' Sizing Tool'!$C$11+' Sizing Tool'!$C$7) &gt; 0,'Calculations-Hidden'!$P$9)/(Q49-1)/100</f>
        <v>8.2500000000000004E-2</v>
      </c>
      <c r="S49" s="28">
        <f>$P$3*$B$40/(Q49-1)/100</f>
        <v>4.4800000000000005E-3</v>
      </c>
      <c r="T49" s="29">
        <f>$P$4*$B$43/(Q49-1)/100</f>
        <v>2.986666666666667E-3</v>
      </c>
      <c r="U49" s="28">
        <f t="shared" si="5"/>
        <v>9.3333333333333332E-4</v>
      </c>
      <c r="V49" s="32">
        <f>$P$6*' Sizing Tool'!$C$10/(Q49-1)/100</f>
        <v>0</v>
      </c>
      <c r="W49" s="28">
        <f>$P$10*' Sizing Tool'!$C$7/(Q49-1)/100</f>
        <v>0</v>
      </c>
      <c r="X49" s="32">
        <f t="shared" si="6"/>
        <v>9.0899999999999995E-2</v>
      </c>
    </row>
    <row r="50" spans="1:24" ht="15.75" thickBot="1" x14ac:dyDescent="0.3">
      <c r="A50" s="4">
        <v>5</v>
      </c>
      <c r="B50" s="87">
        <f>ROUNDUP(IF(' Sizing Tool'!$C$4/(A50*(A50-1)*' Sizing Tool'!$C$14) &gt; $B$2, $B$2, IF(' Sizing Tool'!$C$4/(A50*(A50-1)*' Sizing Tool'!$C$14) &lt; $B$21, $B$21, ' Sizing Tool'!$C$4/(A50*(A50-1)*' Sizing Tool'!$C$14))), 1)</f>
        <v>7.5</v>
      </c>
      <c r="C50" s="16">
        <f>ROUNDDOWN((' Sizing Tool'!$C$4/(B50*A50*(A50-1))),0)</f>
        <v>10</v>
      </c>
      <c r="D50" s="28">
        <f t="shared" si="0"/>
        <v>6.9420633333333343E-2</v>
      </c>
      <c r="E50" s="29">
        <f>($B$5*(' Sizing Tool'!$C$4/(A50*(A50-1)*IF(C50&gt;5,C50,5)))+$B$6)*$B$39/100</f>
        <v>0.84279999999999999</v>
      </c>
      <c r="F50" s="28">
        <f t="shared" si="1"/>
        <v>7.7256666666666689E-3</v>
      </c>
      <c r="G50" s="29">
        <f t="shared" si="2"/>
        <v>2.255894666666667E-2</v>
      </c>
      <c r="H50" s="28">
        <f t="shared" si="3"/>
        <v>9.2708000000000026E-3</v>
      </c>
      <c r="I50" s="29">
        <f>($B$16*' Sizing Tool'!$C$10 * (1+$B$19 * ' Sizing Tool'!$C$13))/(A50-1)/100</f>
        <v>0</v>
      </c>
      <c r="J50" s="28">
        <f>($B$17*' Sizing Tool'!$C$11)/(A50-1)/100</f>
        <v>0</v>
      </c>
      <c r="K50" s="29">
        <f>($B$18*' Sizing Tool'!$C$12)/(A50-1)/100</f>
        <v>0</v>
      </c>
      <c r="L50" s="28">
        <f>('Calculations-Hidden'!$B$13*' Sizing Tool'!$C$7+'Calculations-Hidden'!$B$14*' Sizing Tool'!$C$9*' Sizing Tool'!$C$7)/(A50-1)/100</f>
        <v>0</v>
      </c>
      <c r="M50" s="30">
        <f t="shared" si="4"/>
        <v>0.95177604666666671</v>
      </c>
      <c r="Q50" s="5">
        <v>5</v>
      </c>
      <c r="R50" s="29">
        <f>$P$2*' Sizing Tool'!$C$4/(Q50-1)/100 + IF((' Sizing Tool'!$C$10+' Sizing Tool'!$C$11+' Sizing Tool'!$C$7) &gt; 0,'Calculations-Hidden'!$P$9)/(Q50-1)/100</f>
        <v>6.1874999999999999E-2</v>
      </c>
      <c r="S50" s="28">
        <f>$P$3*$B$40/(Q50-1)/100</f>
        <v>3.3600000000000001E-3</v>
      </c>
      <c r="T50" s="29">
        <f>$P$4*$B$43/(Q50-1)/100</f>
        <v>2.2400000000000002E-3</v>
      </c>
      <c r="U50" s="28">
        <f t="shared" si="5"/>
        <v>7.000000000000001E-4</v>
      </c>
      <c r="V50" s="32">
        <f>$P$6*' Sizing Tool'!$C$10/(Q50-1)/100</f>
        <v>0</v>
      </c>
      <c r="W50" s="28">
        <f>$P$10*' Sizing Tool'!$C$7/(Q50-1)/100</f>
        <v>0</v>
      </c>
      <c r="X50" s="32">
        <f t="shared" si="6"/>
        <v>6.8175000000000013E-2</v>
      </c>
    </row>
    <row r="51" spans="1:24" x14ac:dyDescent="0.25">
      <c r="A51" s="4">
        <v>6</v>
      </c>
      <c r="B51" s="87">
        <f>ROUNDUP(IF(' Sizing Tool'!$C$4/(A51*(A51-1)*' Sizing Tool'!$C$14) &gt; $B$2, $B$2, IF(' Sizing Tool'!$C$4/(A51*(A51-1)*' Sizing Tool'!$C$14) &lt; $B$21, $B$21, ' Sizing Tool'!$C$4/(A51*(A51-1)*' Sizing Tool'!$C$14))), 1)</f>
        <v>5</v>
      </c>
      <c r="C51" s="16">
        <f>ROUNDDOWN((' Sizing Tool'!$C$4/(B51*A51*(A51-1))),0)</f>
        <v>10</v>
      </c>
      <c r="D51" s="28">
        <f t="shared" si="0"/>
        <v>6.5557800000000013E-2</v>
      </c>
      <c r="E51" s="29">
        <f>($B$5*(' Sizing Tool'!$C$4/(A51*(A51-1)*IF(C51&gt;5,C51,5)))+$B$6)*$B$39/100</f>
        <v>0.58695000000000008</v>
      </c>
      <c r="F51" s="28">
        <f t="shared" si="1"/>
        <v>6.1805333333333342E-3</v>
      </c>
      <c r="G51" s="29">
        <f t="shared" si="2"/>
        <v>1.8047157333333334E-2</v>
      </c>
      <c r="H51" s="28">
        <f t="shared" si="3"/>
        <v>7.4166400000000021E-3</v>
      </c>
      <c r="I51" s="29">
        <f>($B$16*' Sizing Tool'!$C$10 * (1+$B$19 * ' Sizing Tool'!$C$13))/(A51-1)/100</f>
        <v>0</v>
      </c>
      <c r="J51" s="28">
        <f>($B$17*' Sizing Tool'!$C$11)/(A51-1)/100</f>
        <v>0</v>
      </c>
      <c r="K51" s="29">
        <f>($B$18*' Sizing Tool'!$C$12)/(A51-1)/100</f>
        <v>0</v>
      </c>
      <c r="L51" s="28">
        <f>('Calculations-Hidden'!$B$13*' Sizing Tool'!$C$7+'Calculations-Hidden'!$B$14*' Sizing Tool'!$C$9*' Sizing Tool'!$C$7)/(A51-1)/100</f>
        <v>0</v>
      </c>
      <c r="M51" s="30">
        <f t="shared" si="4"/>
        <v>0.68415213066666669</v>
      </c>
    </row>
    <row r="52" spans="1:24" x14ac:dyDescent="0.25">
      <c r="A52" s="4">
        <v>7</v>
      </c>
      <c r="B52" s="87">
        <f>ROUNDUP(IF(' Sizing Tool'!$C$4/(A52*(A52-1)*' Sizing Tool'!$C$14) &gt; $B$2, $B$2, IF(' Sizing Tool'!$C$4/(A52*(A52-1)*' Sizing Tool'!$C$14) &lt; $B$21, $B$21, ' Sizing Tool'!$C$4/(A52*(A52-1)*' Sizing Tool'!$C$14))), 1)</f>
        <v>3.6</v>
      </c>
      <c r="C52" s="16">
        <f>ROUNDDOWN((' Sizing Tool'!$C$4/(B52*A52*(A52-1))),0)</f>
        <v>9</v>
      </c>
      <c r="D52" s="28">
        <f t="shared" si="0"/>
        <v>6.2982577777777785E-2</v>
      </c>
      <c r="E52" s="29">
        <f>($B$5*(' Sizing Tool'!$C$4/(A52*(A52-1)*IF(C52&gt;5,C52,5)))+$B$6)*$B$39/100</f>
        <v>0.48136111111111113</v>
      </c>
      <c r="F52" s="28">
        <f t="shared" si="1"/>
        <v>5.1504444444444453E-3</v>
      </c>
      <c r="G52" s="29">
        <f t="shared" si="2"/>
        <v>1.5039297777777778E-2</v>
      </c>
      <c r="H52" s="28">
        <f t="shared" si="3"/>
        <v>6.1805333333333342E-3</v>
      </c>
      <c r="I52" s="29">
        <f>($B$16*' Sizing Tool'!$C$10 * (1+$B$19 * ' Sizing Tool'!$C$13))/(A52-1)/100</f>
        <v>0</v>
      </c>
      <c r="J52" s="28">
        <f>($B$17*' Sizing Tool'!$C$11)/(A52-1)/100</f>
        <v>0</v>
      </c>
      <c r="K52" s="29">
        <f>($B$18*' Sizing Tool'!$C$12)/(A52-1)/100</f>
        <v>0</v>
      </c>
      <c r="L52" s="28">
        <f>('Calculations-Hidden'!$B$13*' Sizing Tool'!$C$7+'Calculations-Hidden'!$B$14*' Sizing Tool'!$C$9*' Sizing Tool'!$C$7)/(A52-1)/100</f>
        <v>0</v>
      </c>
      <c r="M52" s="30">
        <f t="shared" si="4"/>
        <v>0.57071396444444455</v>
      </c>
    </row>
    <row r="53" spans="1:24" ht="15.75" thickBot="1" x14ac:dyDescent="0.3">
      <c r="A53" s="4">
        <v>8</v>
      </c>
      <c r="B53" s="87">
        <f>ROUNDUP(IF(' Sizing Tool'!$C$4/(A53*(A53-1)*' Sizing Tool'!$C$14) &gt; $B$2, $B$2, IF(' Sizing Tool'!$C$4/(A53*(A53-1)*' Sizing Tool'!$C$14) &lt; $B$21, $B$21, ' Sizing Tool'!$C$4/(A53*(A53-1)*' Sizing Tool'!$C$14))), 1)</f>
        <v>3</v>
      </c>
      <c r="C53" s="16">
        <f>ROUNDDOWN((' Sizing Tool'!$C$4/(B53*A53*(A53-1))),0)</f>
        <v>8</v>
      </c>
      <c r="D53" s="28">
        <f t="shared" si="0"/>
        <v>6.1143133333333342E-2</v>
      </c>
      <c r="E53" s="29">
        <f>($B$5*(' Sizing Tool'!$C$4/(A53*(A53-1)*IF(C53&gt;5,C53,5)))+$B$6)*$B$39/100</f>
        <v>0.41790624999999998</v>
      </c>
      <c r="F53" s="28">
        <f t="shared" si="1"/>
        <v>4.4146666666666674E-3</v>
      </c>
      <c r="G53" s="29">
        <f t="shared" si="2"/>
        <v>1.2890826666666667E-2</v>
      </c>
      <c r="H53" s="28">
        <f t="shared" si="3"/>
        <v>5.2976000000000013E-3</v>
      </c>
      <c r="I53" s="29">
        <f>($B$16*' Sizing Tool'!$C$10 * (1+$B$19 * ' Sizing Tool'!$C$13))/(A53-1)/100</f>
        <v>0</v>
      </c>
      <c r="J53" s="28">
        <f>($B$17*' Sizing Tool'!$C$11)/(A53-1)/100</f>
        <v>0</v>
      </c>
      <c r="K53" s="29">
        <f>($B$18*' Sizing Tool'!$C$12)/(A53-1)/100</f>
        <v>0</v>
      </c>
      <c r="L53" s="28">
        <f>('Calculations-Hidden'!$B$13*' Sizing Tool'!$C$7+'Calculations-Hidden'!$B$14*' Sizing Tool'!$C$9*' Sizing Tool'!$C$7)/(A53-1)/100</f>
        <v>0</v>
      </c>
      <c r="M53" s="30">
        <f t="shared" si="4"/>
        <v>0.50165247666666668</v>
      </c>
    </row>
    <row r="54" spans="1:24" ht="15.75" thickBot="1" x14ac:dyDescent="0.3">
      <c r="A54" s="4">
        <v>9</v>
      </c>
      <c r="B54" s="87">
        <f>ROUNDUP(IF(' Sizing Tool'!$C$4/(A54*(A54-1)*' Sizing Tool'!$C$14) &gt; $B$2, $B$2, IF(' Sizing Tool'!$C$4/(A54*(A54-1)*' Sizing Tool'!$C$14) &lt; $B$21, $B$21, ' Sizing Tool'!$C$4/(A54*(A54-1)*' Sizing Tool'!$C$14))), 1)</f>
        <v>3</v>
      </c>
      <c r="C54" s="16">
        <f>ROUNDDOWN((' Sizing Tool'!$C$4/(B54*A54*(A54-1))),0)</f>
        <v>6</v>
      </c>
      <c r="D54" s="28">
        <f t="shared" si="0"/>
        <v>5.9763550000000006E-2</v>
      </c>
      <c r="E54" s="29">
        <f>($B$5*(' Sizing Tool'!$C$4/(A54*(A54-1)*IF(C54&gt;5,C54,5)))+$B$6)*$B$39/100</f>
        <v>0.43059722222222219</v>
      </c>
      <c r="F54" s="28">
        <f t="shared" si="1"/>
        <v>3.8628333333333344E-3</v>
      </c>
      <c r="G54" s="29">
        <f t="shared" si="2"/>
        <v>1.1279473333333335E-2</v>
      </c>
      <c r="H54" s="28">
        <f t="shared" si="3"/>
        <v>4.6354000000000013E-3</v>
      </c>
      <c r="I54" s="29">
        <f>($B$16*' Sizing Tool'!$C$10 * (1+$B$19 * ' Sizing Tool'!$C$13))/(A54-1)/100</f>
        <v>0</v>
      </c>
      <c r="J54" s="28">
        <f>($B$17*' Sizing Tool'!$C$11)/(A54-1)/100</f>
        <v>0</v>
      </c>
      <c r="K54" s="29">
        <f>($B$18*' Sizing Tool'!$C$12)/(A54-1)/100</f>
        <v>0</v>
      </c>
      <c r="L54" s="28">
        <f>('Calculations-Hidden'!$B$13*' Sizing Tool'!$C$7+'Calculations-Hidden'!$B$14*' Sizing Tool'!$C$9*' Sizing Tool'!$C$7)/(A54-1)/100</f>
        <v>0</v>
      </c>
      <c r="M54" s="30">
        <f t="shared" si="4"/>
        <v>0.51013847888888875</v>
      </c>
      <c r="Q54" s="17" t="s">
        <v>74</v>
      </c>
      <c r="R54" s="25" t="s">
        <v>35</v>
      </c>
      <c r="S54" s="26" t="s">
        <v>1</v>
      </c>
      <c r="T54" s="25" t="s">
        <v>70</v>
      </c>
      <c r="U54" s="26" t="s">
        <v>75</v>
      </c>
      <c r="V54" s="31" t="s">
        <v>99</v>
      </c>
      <c r="W54" s="26" t="s">
        <v>100</v>
      </c>
      <c r="X54" s="31" t="s">
        <v>76</v>
      </c>
    </row>
    <row r="55" spans="1:24" x14ac:dyDescent="0.25">
      <c r="A55" s="4">
        <v>10</v>
      </c>
      <c r="B55" s="87">
        <f>ROUNDUP(IF(' Sizing Tool'!$C$4/(A55*(A55-1)*' Sizing Tool'!$C$14) &gt; $B$2, $B$2, IF(' Sizing Tool'!$C$4/(A55*(A55-1)*' Sizing Tool'!$C$14) &lt; $B$21, $B$21, ' Sizing Tool'!$C$4/(A55*(A55-1)*' Sizing Tool'!$C$14))), 1)</f>
        <v>3</v>
      </c>
      <c r="C55" s="16">
        <f>ROUNDDOWN((' Sizing Tool'!$C$4/(B55*A55*(A55-1))),0)</f>
        <v>5</v>
      </c>
      <c r="D55" s="28">
        <f t="shared" si="0"/>
        <v>5.8690540740740753E-2</v>
      </c>
      <c r="E55" s="29">
        <f>($B$5*(' Sizing Tool'!$C$4/(A55*(A55-1)*IF(C55&gt;5,C55,5)))+$B$6)*$B$39/100</f>
        <v>0.41638333333333333</v>
      </c>
      <c r="F55" s="28">
        <f t="shared" si="1"/>
        <v>3.4336296296296302E-3</v>
      </c>
      <c r="G55" s="29">
        <f t="shared" si="2"/>
        <v>1.0026198518518518E-2</v>
      </c>
      <c r="H55" s="28">
        <f t="shared" si="3"/>
        <v>4.1203555555555564E-3</v>
      </c>
      <c r="I55" s="29">
        <f>($B$16*' Sizing Tool'!$C$10 * (1+$B$19 * ' Sizing Tool'!$C$13))/(A55-1)/100</f>
        <v>0</v>
      </c>
      <c r="J55" s="28">
        <f>($B$17*' Sizing Tool'!$C$11)/(A55-1)/100</f>
        <v>0</v>
      </c>
      <c r="K55" s="29">
        <f>($B$18*' Sizing Tool'!$C$12)/(A55-1)/100</f>
        <v>0</v>
      </c>
      <c r="L55" s="28">
        <f>('Calculations-Hidden'!$B$13*' Sizing Tool'!$C$7+'Calculations-Hidden'!$B$14*' Sizing Tool'!$C$9*' Sizing Tool'!$C$7)/(A55-1)/100</f>
        <v>0</v>
      </c>
      <c r="M55" s="30">
        <f t="shared" si="4"/>
        <v>0.49265405777777777</v>
      </c>
      <c r="Q55" s="4">
        <v>3</v>
      </c>
      <c r="R55" s="29">
        <f>IF((' Sizing Tool'!$C$10+' Sizing Tool'!$C$11+' Sizing Tool'!$C$7) &gt; 0,$P$25,$P$16)/100</f>
        <v>0.06</v>
      </c>
      <c r="S55" s="28">
        <f>$P$17*$B$40/100</f>
        <v>1.064E-2</v>
      </c>
      <c r="T55" s="29">
        <f>$P$18*$B$42/100</f>
        <v>4.2000000000000006E-3</v>
      </c>
      <c r="U55" s="28">
        <f>$P$19 * 20/100</f>
        <v>0.24</v>
      </c>
      <c r="V55" s="32">
        <f>($P$22*' Sizing Tool'!$C$10+$P$23*' Sizing Tool'!$C$11+$P$24*' Sizing Tool'!$C$12)/100</f>
        <v>0</v>
      </c>
      <c r="W55" s="28">
        <f>($P$20*' Sizing Tool'!$C$7+$P$21*(' Sizing Tool'!$C$7*' Sizing Tool'!$C$9))/100</f>
        <v>0</v>
      </c>
      <c r="X55" s="33">
        <f>SUM(R55:W55)</f>
        <v>0.31484000000000001</v>
      </c>
    </row>
    <row r="56" spans="1:24" x14ac:dyDescent="0.25">
      <c r="A56" s="4">
        <v>11</v>
      </c>
      <c r="B56" s="87">
        <f>ROUNDUP(IF(' Sizing Tool'!$C$4/(A56*(A56-1)*' Sizing Tool'!$C$14) &gt; $B$2, $B$2, IF(' Sizing Tool'!$C$4/(A56*(A56-1)*' Sizing Tool'!$C$14) &lt; $B$21, $B$21, ' Sizing Tool'!$C$4/(A56*(A56-1)*' Sizing Tool'!$C$14))), 1)</f>
        <v>3</v>
      </c>
      <c r="C56" s="16">
        <f>ROUNDDOWN((' Sizing Tool'!$C$4/(B56*A56*(A56-1))),0)</f>
        <v>4</v>
      </c>
      <c r="D56" s="28">
        <f t="shared" si="0"/>
        <v>5.7832133333333348E-2</v>
      </c>
      <c r="E56" s="29">
        <f>($B$5*(' Sizing Tool'!$C$4/(A56*(A56-1)*IF(C56&gt;5,C56,5)))+$B$6)*$B$39/100</f>
        <v>0.35435909090909085</v>
      </c>
      <c r="F56" s="28">
        <f t="shared" si="1"/>
        <v>3.0902666666666671E-3</v>
      </c>
      <c r="G56" s="29">
        <f t="shared" si="2"/>
        <v>9.0235786666666672E-3</v>
      </c>
      <c r="H56" s="28">
        <f t="shared" si="3"/>
        <v>3.7083200000000011E-3</v>
      </c>
      <c r="I56" s="29">
        <f>($B$16*' Sizing Tool'!$C$10 * (1+$B$19 * ' Sizing Tool'!$C$13))/(A56-1)/100</f>
        <v>0</v>
      </c>
      <c r="J56" s="28">
        <f>($B$17*' Sizing Tool'!$C$11)/(A56-1)/100</f>
        <v>0</v>
      </c>
      <c r="K56" s="29">
        <f>($B$18*' Sizing Tool'!$C$12)/(A56-1)/100</f>
        <v>0</v>
      </c>
      <c r="L56" s="28">
        <f>('Calculations-Hidden'!$B$13*' Sizing Tool'!$C$7+'Calculations-Hidden'!$B$14*' Sizing Tool'!$C$9*' Sizing Tool'!$C$7)/(A56-1)/100</f>
        <v>0</v>
      </c>
      <c r="M56" s="30">
        <f t="shared" si="4"/>
        <v>0.42801338957575752</v>
      </c>
    </row>
    <row r="57" spans="1:24" x14ac:dyDescent="0.25">
      <c r="A57" s="4">
        <v>12</v>
      </c>
      <c r="B57" s="87">
        <f>ROUNDUP(IF(' Sizing Tool'!$C$4/(A57*(A57-1)*' Sizing Tool'!$C$14) &gt; $B$2, $B$2, IF(' Sizing Tool'!$C$4/(A57*(A57-1)*' Sizing Tool'!$C$14) &lt; $B$21, $B$21, ' Sizing Tool'!$C$4/(A57*(A57-1)*' Sizing Tool'!$C$14))), 1)</f>
        <v>3</v>
      </c>
      <c r="C57" s="16">
        <f>ROUNDDOWN((' Sizing Tool'!$C$4/(B57*A57*(A57-1))),0)</f>
        <v>3</v>
      </c>
      <c r="D57" s="28">
        <f t="shared" si="0"/>
        <v>5.7129800000000015E-2</v>
      </c>
      <c r="E57" s="29">
        <f>($B$5*(' Sizing Tool'!$C$4/(A57*(A57-1)*IF(C57&gt;5,C57,5)))+$B$6)*$B$39/100</f>
        <v>0.30784090909090911</v>
      </c>
      <c r="F57" s="28">
        <f t="shared" si="1"/>
        <v>2.8093333333333343E-3</v>
      </c>
      <c r="G57" s="29">
        <f t="shared" si="2"/>
        <v>8.2032533333333338E-3</v>
      </c>
      <c r="H57" s="28">
        <f t="shared" si="3"/>
        <v>3.3712000000000008E-3</v>
      </c>
      <c r="I57" s="29">
        <f>($B$16*' Sizing Tool'!$C$10 * (1+$B$19 * ' Sizing Tool'!$C$13))/(A57-1)/100</f>
        <v>0</v>
      </c>
      <c r="J57" s="28">
        <f>($B$17*' Sizing Tool'!$C$11)/(A57-1)/100</f>
        <v>0</v>
      </c>
      <c r="K57" s="29">
        <f>($B$18*' Sizing Tool'!$C$12)/(A57-1)/100</f>
        <v>0</v>
      </c>
      <c r="L57" s="28">
        <f>('Calculations-Hidden'!$B$13*' Sizing Tool'!$C$7+'Calculations-Hidden'!$B$14*' Sizing Tool'!$C$9*' Sizing Tool'!$C$7)/(A57-1)/100</f>
        <v>0</v>
      </c>
      <c r="M57" s="30">
        <f t="shared" si="4"/>
        <v>0.37935449575757579</v>
      </c>
    </row>
    <row r="58" spans="1:24" s="8" customFormat="1" ht="18" customHeight="1" x14ac:dyDescent="0.25">
      <c r="A58" s="4">
        <v>13</v>
      </c>
      <c r="B58" s="87">
        <f>ROUNDUP(IF(' Sizing Tool'!$C$4/(A58*(A58-1)*' Sizing Tool'!$C$14) &gt; $B$2, $B$2, IF(' Sizing Tool'!$C$4/(A58*(A58-1)*' Sizing Tool'!$C$14) &lt; $B$21, $B$21, ' Sizing Tool'!$C$4/(A58*(A58-1)*' Sizing Tool'!$C$14))), 1)</f>
        <v>3</v>
      </c>
      <c r="C58" s="16">
        <f>ROUNDDOWN((' Sizing Tool'!$C$4/(B58*A58*(A58-1))),0)</f>
        <v>3</v>
      </c>
      <c r="D58" s="28">
        <f t="shared" si="0"/>
        <v>5.6544522222222227E-2</v>
      </c>
      <c r="E58" s="29">
        <f>($B$5*(' Sizing Tool'!$C$4/(A58*(A58-1)*IF(C58&gt;5,C58,5)))+$B$6)*$B$39/100</f>
        <v>0.27205769230769233</v>
      </c>
      <c r="F58" s="28">
        <f t="shared" si="1"/>
        <v>2.5752222222222227E-3</v>
      </c>
      <c r="G58" s="29">
        <f t="shared" si="2"/>
        <v>7.519648888888889E-3</v>
      </c>
      <c r="H58" s="28">
        <f t="shared" si="3"/>
        <v>3.0902666666666671E-3</v>
      </c>
      <c r="I58" s="29">
        <f>($B$16*' Sizing Tool'!$C$10 * (1+$B$19 * ' Sizing Tool'!$C$13))/(A58-1)/100</f>
        <v>0</v>
      </c>
      <c r="J58" s="28">
        <f>($B$17*' Sizing Tool'!$C$11)/(A58-1)/100</f>
        <v>0</v>
      </c>
      <c r="K58" s="29">
        <f>($B$18*' Sizing Tool'!$C$12)/(A58-1)/100</f>
        <v>0</v>
      </c>
      <c r="L58" s="28">
        <f>('Calculations-Hidden'!$B$13*' Sizing Tool'!$C$7+'Calculations-Hidden'!$B$14*' Sizing Tool'!$C$9*' Sizing Tool'!$C$7)/(A58-1)/100</f>
        <v>0</v>
      </c>
      <c r="M58" s="30">
        <f t="shared" si="4"/>
        <v>0.34178735230769236</v>
      </c>
      <c r="N58" s="1"/>
    </row>
    <row r="59" spans="1:24" x14ac:dyDescent="0.25">
      <c r="A59" s="4">
        <v>14</v>
      </c>
      <c r="B59" s="87">
        <f>ROUNDUP(IF(' Sizing Tool'!$C$4/(A59*(A59-1)*' Sizing Tool'!$C$14) &gt; $B$2, $B$2, IF(' Sizing Tool'!$C$4/(A59*(A59-1)*' Sizing Tool'!$C$14) &lt; $B$21, $B$21, ' Sizing Tool'!$C$4/(A59*(A59-1)*' Sizing Tool'!$C$14))), 1)</f>
        <v>3</v>
      </c>
      <c r="C59" s="16">
        <f>ROUNDDOWN((' Sizing Tool'!$C$4/(B59*A59*(A59-1))),0)</f>
        <v>2</v>
      </c>
      <c r="D59" s="28">
        <f t="shared" si="0"/>
        <v>5.6049287179487185E-2</v>
      </c>
      <c r="E59" s="29">
        <f>($B$5*(' Sizing Tool'!$C$4/(A59*(A59-1)*IF(C59&gt;5,C59,5)))+$B$6)*$B$39/100</f>
        <v>0.24394230769230765</v>
      </c>
      <c r="F59" s="28">
        <f t="shared" si="1"/>
        <v>2.3771282051282057E-3</v>
      </c>
      <c r="G59" s="29">
        <f t="shared" si="2"/>
        <v>6.9412143589743592E-3</v>
      </c>
      <c r="H59" s="28">
        <f t="shared" si="3"/>
        <v>2.8525538461538469E-3</v>
      </c>
      <c r="I59" s="29">
        <f>($B$16*' Sizing Tool'!$C$10 * (1+$B$19 * ' Sizing Tool'!$C$13))/(A59-1)/100</f>
        <v>0</v>
      </c>
      <c r="J59" s="28">
        <f>($B$17*' Sizing Tool'!$C$11)/(A59-1)/100</f>
        <v>0</v>
      </c>
      <c r="K59" s="29">
        <f>($B$18*' Sizing Tool'!$C$12)/(A59-1)/100</f>
        <v>0</v>
      </c>
      <c r="L59" s="28">
        <f>('Calculations-Hidden'!$B$13*' Sizing Tool'!$C$7+'Calculations-Hidden'!$B$14*' Sizing Tool'!$C$9*' Sizing Tool'!$C$7)/(A59-1)/100</f>
        <v>0</v>
      </c>
      <c r="M59" s="30">
        <f t="shared" si="4"/>
        <v>0.31216249128205126</v>
      </c>
    </row>
    <row r="60" spans="1:24" x14ac:dyDescent="0.25">
      <c r="A60" s="4">
        <v>15</v>
      </c>
      <c r="B60" s="87">
        <f>ROUNDUP(IF(' Sizing Tool'!$C$4/(A60*(A60-1)*' Sizing Tool'!$C$14) &gt; $B$2, $B$2, IF(' Sizing Tool'!$C$4/(A60*(A60-1)*' Sizing Tool'!$C$14) &lt; $B$21, $B$21, ' Sizing Tool'!$C$4/(A60*(A60-1)*' Sizing Tool'!$C$14))), 1)</f>
        <v>3</v>
      </c>
      <c r="C60" s="16">
        <f>ROUNDDOWN((' Sizing Tool'!$C$4/(B60*A60*(A60-1))),0)</f>
        <v>2</v>
      </c>
      <c r="D60" s="28">
        <f t="shared" si="0"/>
        <v>5.5624800000000009E-2</v>
      </c>
      <c r="E60" s="29">
        <f>($B$5*(' Sizing Tool'!$C$4/(A60*(A60-1)*IF(C60&gt;5,C60,5)))+$B$6)*$B$39/100</f>
        <v>0.22145000000000001</v>
      </c>
      <c r="F60" s="28">
        <f t="shared" si="1"/>
        <v>2.2073333333333337E-3</v>
      </c>
      <c r="G60" s="29">
        <f t="shared" si="2"/>
        <v>6.4454133333333337E-3</v>
      </c>
      <c r="H60" s="28">
        <f t="shared" si="3"/>
        <v>2.6488000000000006E-3</v>
      </c>
      <c r="I60" s="29">
        <f>($B$16*' Sizing Tool'!$C$10 * (1+$B$19 * ' Sizing Tool'!$C$13))/(A60-1)/100</f>
        <v>0</v>
      </c>
      <c r="J60" s="28">
        <f>($B$17*' Sizing Tool'!$C$11)/(A60-1)/100</f>
        <v>0</v>
      </c>
      <c r="K60" s="29">
        <f>($B$18*' Sizing Tool'!$C$12)/(A60-1)/100</f>
        <v>0</v>
      </c>
      <c r="L60" s="28">
        <f>('Calculations-Hidden'!$B$13*' Sizing Tool'!$C$7+'Calculations-Hidden'!$B$14*' Sizing Tool'!$C$9*' Sizing Tool'!$C$7)/(A60-1)/100</f>
        <v>0</v>
      </c>
      <c r="M60" s="30">
        <f t="shared" si="4"/>
        <v>0.28837634666666667</v>
      </c>
    </row>
    <row r="61" spans="1:24" x14ac:dyDescent="0.25">
      <c r="A61" s="4">
        <v>16</v>
      </c>
      <c r="B61" s="87">
        <f>ROUNDUP(IF(' Sizing Tool'!$C$4/(A61*(A61-1)*' Sizing Tool'!$C$14) &gt; $B$2, $B$2, IF(' Sizing Tool'!$C$4/(A61*(A61-1)*' Sizing Tool'!$C$14) &lt; $B$21, $B$21, ' Sizing Tool'!$C$4/(A61*(A61-1)*' Sizing Tool'!$C$14))), 1)</f>
        <v>3</v>
      </c>
      <c r="C61" s="16">
        <f>ROUNDDOWN((' Sizing Tool'!$C$4/(B61*A61*(A61-1))),0)</f>
        <v>2</v>
      </c>
      <c r="D61" s="28">
        <f t="shared" si="0"/>
        <v>5.5256911111111126E-2</v>
      </c>
      <c r="E61" s="29">
        <f>($B$5*(' Sizing Tool'!$C$4/(A61*(A61-1)*IF(C61&gt;5,C61,5)))+$B$6)*$B$39/100</f>
        <v>0.20317500000000002</v>
      </c>
      <c r="F61" s="28">
        <f t="shared" si="1"/>
        <v>2.0601777777777782E-3</v>
      </c>
      <c r="G61" s="29">
        <f t="shared" si="2"/>
        <v>6.0157191111111117E-3</v>
      </c>
      <c r="H61" s="28">
        <f t="shared" si="3"/>
        <v>2.472213333333334E-3</v>
      </c>
      <c r="I61" s="29">
        <f>($B$16*' Sizing Tool'!$C$10 * (1+$B$19 * ' Sizing Tool'!$C$13))/(A61-1)/100</f>
        <v>0</v>
      </c>
      <c r="J61" s="28">
        <f>($B$17*' Sizing Tool'!$C$11)/(A61-1)/100</f>
        <v>0</v>
      </c>
      <c r="K61" s="29">
        <f>($B$18*' Sizing Tool'!$C$12)/(A61-1)/100</f>
        <v>0</v>
      </c>
      <c r="L61" s="28">
        <f>('Calculations-Hidden'!$B$13*' Sizing Tool'!$C$7+'Calculations-Hidden'!$B$14*' Sizing Tool'!$C$9*' Sizing Tool'!$C$7)/(A61-1)/100</f>
        <v>0</v>
      </c>
      <c r="M61" s="30">
        <f t="shared" si="4"/>
        <v>0.26898002133333332</v>
      </c>
    </row>
    <row r="62" spans="1:24" ht="15.75" thickBot="1" x14ac:dyDescent="0.3">
      <c r="A62" s="5">
        <v>99</v>
      </c>
      <c r="B62" s="88"/>
      <c r="C62" s="18">
        <v>0</v>
      </c>
      <c r="D62" s="28">
        <v>0</v>
      </c>
      <c r="E62" s="29">
        <v>0</v>
      </c>
      <c r="F62" s="28">
        <v>0</v>
      </c>
      <c r="G62" s="29">
        <v>0</v>
      </c>
      <c r="H62" s="28">
        <v>0</v>
      </c>
      <c r="I62" s="29">
        <v>0</v>
      </c>
      <c r="J62" s="28">
        <v>0</v>
      </c>
      <c r="K62" s="29">
        <v>0</v>
      </c>
      <c r="L62" s="28">
        <v>0</v>
      </c>
      <c r="M62" s="30">
        <f t="shared" ref="M62" si="7">D62+E62+F62+G62+H62</f>
        <v>0</v>
      </c>
    </row>
  </sheetData>
  <sheetProtection selectLockedCells="1" selectUnlockedCells="1"/>
  <mergeCells count="60">
    <mergeCell ref="Q15:AA15"/>
    <mergeCell ref="Q1:AA1"/>
    <mergeCell ref="Q10:AA10"/>
    <mergeCell ref="Q11:AA11"/>
    <mergeCell ref="Q5:AA5"/>
    <mergeCell ref="Q8:AA8"/>
    <mergeCell ref="Q7:AA7"/>
    <mergeCell ref="Q6:AA6"/>
    <mergeCell ref="Q24:AA24"/>
    <mergeCell ref="Q22:AA22"/>
    <mergeCell ref="Q19:AA19"/>
    <mergeCell ref="Q16:AA16"/>
    <mergeCell ref="Q17:AA17"/>
    <mergeCell ref="Q18:AA18"/>
    <mergeCell ref="Q23:AA23"/>
    <mergeCell ref="Q20:AA20"/>
    <mergeCell ref="Q21:AA21"/>
    <mergeCell ref="C13:M13"/>
    <mergeCell ref="C14:M14"/>
    <mergeCell ref="C15:M15"/>
    <mergeCell ref="C19:M19"/>
    <mergeCell ref="C18:M18"/>
    <mergeCell ref="C43:M43"/>
    <mergeCell ref="C42:M42"/>
    <mergeCell ref="C4:M4"/>
    <mergeCell ref="Q25:AA25"/>
    <mergeCell ref="C38:M38"/>
    <mergeCell ref="C39:M39"/>
    <mergeCell ref="C40:M40"/>
    <mergeCell ref="C34:M34"/>
    <mergeCell ref="C35:M35"/>
    <mergeCell ref="C41:M41"/>
    <mergeCell ref="C36:M36"/>
    <mergeCell ref="C37:M37"/>
    <mergeCell ref="C26:M26"/>
    <mergeCell ref="C27:M27"/>
    <mergeCell ref="Q9:AA9"/>
    <mergeCell ref="C29:M29"/>
    <mergeCell ref="C30:M30"/>
    <mergeCell ref="Q2:AA2"/>
    <mergeCell ref="Q3:AA3"/>
    <mergeCell ref="Q4:AA4"/>
    <mergeCell ref="C28:M28"/>
    <mergeCell ref="C25:M25"/>
    <mergeCell ref="C11:M11"/>
    <mergeCell ref="C12:M12"/>
    <mergeCell ref="C24:M24"/>
    <mergeCell ref="C8:M8"/>
    <mergeCell ref="C9:M9"/>
    <mergeCell ref="C10:M10"/>
    <mergeCell ref="C21:M21"/>
    <mergeCell ref="C20:M20"/>
    <mergeCell ref="C16:M16"/>
    <mergeCell ref="C17:M17"/>
    <mergeCell ref="C1:M1"/>
    <mergeCell ref="C2:M2"/>
    <mergeCell ref="C3:M3"/>
    <mergeCell ref="C7:M7"/>
    <mergeCell ref="C5:M5"/>
    <mergeCell ref="C6:M6"/>
  </mergeCells>
  <hyperlinks>
    <hyperlink ref="C26" r:id="rId1" display="https://www.spec.org/cgi-bin/osgresults?conf=rint2006"/>
  </hyperlinks>
  <pageMargins left="0.7" right="0.7" top="0.75" bottom="0.75" header="0.3" footer="0.3"/>
  <pageSetup orientation="portrait" verticalDpi="0"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Sizing Procedure</vt:lpstr>
      <vt:lpstr> Sizing Tool</vt:lpstr>
      <vt:lpstr>Sample Deployments</vt:lpstr>
      <vt:lpstr>Calculations-Hidden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Dmytro Pokhylko</dc:creator>
  <cp:lastModifiedBy>Lorraine Lannoye</cp:lastModifiedBy>
  <dcterms:created xsi:type="dcterms:W3CDTF">2013-08-28T21:33:48Z</dcterms:created>
  <dcterms:modified xsi:type="dcterms:W3CDTF">2017-11-29T21:40:57Z</dcterms:modified>
</cp:coreProperties>
</file>